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1075" windowHeight="8190" firstSheet="22" activeTab="39"/>
  </bookViews>
  <sheets>
    <sheet name="5-1" sheetId="1" r:id="rId1"/>
    <sheet name="5-2" sheetId="2" r:id="rId2"/>
    <sheet name="5-3" sheetId="3" r:id="rId3"/>
    <sheet name="5-4" sheetId="4" r:id="rId4"/>
    <sheet name="5-5" sheetId="5" r:id="rId5"/>
    <sheet name="5-6" sheetId="6" r:id="rId6"/>
    <sheet name="5-7" sheetId="7" r:id="rId7"/>
    <sheet name="5-8" sheetId="8" r:id="rId8"/>
    <sheet name="7-1" sheetId="9" r:id="rId9"/>
    <sheet name="7-2" sheetId="10" r:id="rId10"/>
    <sheet name="6-1" sheetId="11" r:id="rId11"/>
    <sheet name="6-2" sheetId="12" r:id="rId12"/>
    <sheet name="8-1" sheetId="13" r:id="rId13"/>
    <sheet name="8-2" sheetId="14" r:id="rId14"/>
    <sheet name="8-3" sheetId="15" r:id="rId15"/>
    <sheet name="8-4" sheetId="16" r:id="rId16"/>
    <sheet name="8-5" sheetId="17" r:id="rId17"/>
    <sheet name="8-6" sheetId="18" r:id="rId18"/>
    <sheet name="9-1" sheetId="19" r:id="rId19"/>
    <sheet name="9-2" sheetId="20" r:id="rId20"/>
    <sheet name="9-3" sheetId="21" r:id="rId21"/>
    <sheet name="9-4" sheetId="22" r:id="rId22"/>
    <sheet name="9-5" sheetId="23" r:id="rId23"/>
    <sheet name="11-1" sheetId="24" r:id="rId24"/>
    <sheet name="11-2" sheetId="25" r:id="rId25"/>
    <sheet name="17-1" sheetId="26" r:id="rId26"/>
    <sheet name="18-1" sheetId="27" r:id="rId27"/>
    <sheet name="18-2" sheetId="28" r:id="rId28"/>
    <sheet name="18-3" sheetId="29" r:id="rId29"/>
    <sheet name="18-4" sheetId="30" r:id="rId30"/>
    <sheet name="18-5" sheetId="31" r:id="rId31"/>
    <sheet name="19-1" sheetId="32" r:id="rId32"/>
    <sheet name="20-1" sheetId="33" r:id="rId33"/>
    <sheet name="20-2" sheetId="34" r:id="rId34"/>
    <sheet name="21-1" sheetId="35" r:id="rId35"/>
    <sheet name="22-1" sheetId="36" r:id="rId36"/>
    <sheet name="23-1" sheetId="37" r:id="rId37"/>
    <sheet name="25-1" sheetId="38" r:id="rId38"/>
    <sheet name="25-2" sheetId="39" r:id="rId39"/>
    <sheet name="25-3" sheetId="40" r:id="rId40"/>
  </sheets>
  <calcPr calcId="145621"/>
</workbook>
</file>

<file path=xl/calcChain.xml><?xml version="1.0" encoding="utf-8"?>
<calcChain xmlns="http://schemas.openxmlformats.org/spreadsheetml/2006/main">
  <c r="E10" i="40" l="1"/>
  <c r="E11" i="40"/>
  <c r="E9" i="40"/>
  <c r="E3" i="40"/>
  <c r="E4" i="40"/>
  <c r="C10" i="39"/>
  <c r="B3" i="39"/>
  <c r="B4" i="39"/>
  <c r="B5" i="39"/>
  <c r="B6" i="39"/>
  <c r="B2" i="39"/>
  <c r="E11" i="38"/>
  <c r="B3" i="38"/>
  <c r="B4" i="38"/>
  <c r="B5" i="38"/>
  <c r="B6" i="38"/>
  <c r="E10" i="38"/>
  <c r="E2" i="38"/>
  <c r="B2" i="38"/>
  <c r="F21" i="37"/>
  <c r="F18" i="37"/>
  <c r="F19" i="37"/>
  <c r="F20" i="37"/>
  <c r="F22" i="37"/>
  <c r="F17" i="37"/>
  <c r="E12" i="37"/>
  <c r="D9" i="37"/>
  <c r="E9" i="37"/>
  <c r="E5" i="37"/>
  <c r="E6" i="37"/>
  <c r="E3" i="37"/>
  <c r="E4" i="37"/>
  <c r="E23" i="36"/>
  <c r="E22" i="36"/>
  <c r="E21" i="36"/>
  <c r="E20" i="36"/>
  <c r="F23" i="37" l="1"/>
  <c r="F25" i="37" s="1"/>
  <c r="B12" i="36"/>
  <c r="B10" i="36"/>
  <c r="F23" i="35"/>
  <c r="F13" i="35"/>
  <c r="F12" i="35"/>
  <c r="F10" i="35"/>
  <c r="E5" i="35"/>
  <c r="E6" i="35"/>
  <c r="E7" i="35"/>
  <c r="E8" i="35"/>
  <c r="E4" i="35"/>
  <c r="B8" i="34"/>
  <c r="H7" i="33"/>
  <c r="H8" i="33" s="1"/>
  <c r="E36" i="32"/>
  <c r="E34" i="32"/>
  <c r="E33" i="32"/>
  <c r="E32" i="32"/>
  <c r="E22" i="32"/>
  <c r="E23" i="32"/>
  <c r="E24" i="32"/>
  <c r="E25" i="32"/>
  <c r="E26" i="32"/>
  <c r="E27" i="32"/>
  <c r="E28" i="32"/>
  <c r="E29" i="32"/>
  <c r="E30" i="32"/>
  <c r="E31" i="32"/>
  <c r="E13" i="32"/>
  <c r="E14" i="32"/>
  <c r="E15" i="32"/>
  <c r="E16" i="32"/>
  <c r="E17" i="32"/>
  <c r="E18" i="32"/>
  <c r="E19" i="32"/>
  <c r="E20" i="32"/>
  <c r="E21" i="32"/>
  <c r="E12" i="32"/>
  <c r="B7" i="31"/>
  <c r="F11" i="35" l="1"/>
  <c r="F16" i="35" s="1"/>
  <c r="B7" i="30"/>
  <c r="B8" i="30" s="1"/>
  <c r="B8" i="27"/>
  <c r="F25" i="35" l="1"/>
  <c r="F21" i="35"/>
  <c r="F24" i="35"/>
  <c r="F22" i="35"/>
  <c r="F20" i="35"/>
  <c r="F19" i="35"/>
  <c r="F14" i="35"/>
  <c r="F18" i="35" s="1"/>
  <c r="F17" i="35"/>
  <c r="B6" i="26"/>
  <c r="B9" i="25"/>
  <c r="B15" i="24"/>
  <c r="B14" i="24"/>
  <c r="J11" i="24"/>
  <c r="H11" i="24"/>
  <c r="F11" i="24"/>
  <c r="D11" i="24"/>
  <c r="B11" i="24"/>
  <c r="J10" i="24"/>
  <c r="H10" i="24"/>
  <c r="F10" i="24"/>
  <c r="D10" i="24"/>
  <c r="B10" i="24"/>
  <c r="B16" i="23"/>
  <c r="B14" i="23"/>
  <c r="B13" i="23"/>
  <c r="B9" i="23"/>
  <c r="B13" i="20"/>
  <c r="B14" i="20" s="1"/>
  <c r="B18" i="21"/>
  <c r="B17" i="21"/>
  <c r="B16" i="21"/>
  <c r="B14" i="21"/>
  <c r="B9" i="21"/>
  <c r="B16" i="19"/>
  <c r="B14" i="19"/>
  <c r="B15" i="19"/>
  <c r="B9" i="18"/>
  <c r="B8" i="18"/>
  <c r="B7" i="18"/>
  <c r="B12" i="17"/>
  <c r="B10" i="16"/>
  <c r="B9" i="16"/>
  <c r="B8" i="15"/>
  <c r="B6" i="15"/>
  <c r="B5" i="15"/>
  <c r="B11" i="14"/>
  <c r="F7" i="14"/>
  <c r="D7" i="14"/>
  <c r="B7" i="14"/>
  <c r="B6" i="13"/>
  <c r="B19" i="12"/>
  <c r="B18" i="12"/>
  <c r="B17" i="12"/>
  <c r="B16" i="12"/>
  <c r="B15" i="12"/>
  <c r="B14" i="12"/>
  <c r="B13" i="12"/>
  <c r="B29" i="11"/>
  <c r="B28" i="11"/>
  <c r="B27" i="11"/>
  <c r="B25" i="11" s="1"/>
  <c r="B26" i="11"/>
  <c r="B24" i="11"/>
  <c r="B23" i="11"/>
  <c r="B20" i="11"/>
  <c r="B19" i="11"/>
  <c r="B22" i="11" s="1"/>
  <c r="B18" i="11"/>
  <c r="F26" i="35" l="1"/>
  <c r="F27" i="35" s="1"/>
  <c r="B21" i="11"/>
  <c r="B10" i="10"/>
  <c r="B9" i="10"/>
  <c r="B11" i="10" s="1"/>
  <c r="G4" i="9"/>
  <c r="F5" i="9"/>
  <c r="G5" i="9" s="1"/>
  <c r="F6" i="9"/>
  <c r="G6" i="9" s="1"/>
  <c r="F7" i="9"/>
  <c r="G7" i="9" s="1"/>
  <c r="F8" i="9"/>
  <c r="G8" i="9" s="1"/>
  <c r="F9" i="9"/>
  <c r="G9" i="9" s="1"/>
  <c r="F10" i="9"/>
  <c r="G10" i="9" s="1"/>
  <c r="F4" i="9"/>
  <c r="B10" i="8"/>
  <c r="B11" i="7"/>
  <c r="B10" i="7"/>
  <c r="B9" i="7"/>
  <c r="B13" i="6"/>
  <c r="B12" i="6"/>
  <c r="B11" i="6"/>
  <c r="B9" i="5"/>
  <c r="B9" i="4"/>
  <c r="B7" i="3"/>
  <c r="B10" i="2"/>
  <c r="B9" i="2"/>
  <c r="F28" i="35" l="1"/>
  <c r="G11" i="9"/>
  <c r="G12" i="9" s="1"/>
  <c r="C10" i="1"/>
  <c r="B11" i="1"/>
  <c r="B10" i="1"/>
</calcChain>
</file>

<file path=xl/sharedStrings.xml><?xml version="1.0" encoding="utf-8"?>
<sst xmlns="http://schemas.openxmlformats.org/spreadsheetml/2006/main" count="832" uniqueCount="407">
  <si>
    <t>No. of Footings</t>
  </si>
  <si>
    <t>Width 1</t>
  </si>
  <si>
    <t>Width 2</t>
  </si>
  <si>
    <t>Thickness</t>
  </si>
  <si>
    <t>Concrete Waste</t>
  </si>
  <si>
    <t>Forms</t>
  </si>
  <si>
    <t xml:space="preserve">Volume </t>
  </si>
  <si>
    <t>in</t>
  </si>
  <si>
    <t>%</t>
  </si>
  <si>
    <t>ft</t>
  </si>
  <si>
    <t>cyd</t>
  </si>
  <si>
    <t>No. of Colums</t>
  </si>
  <si>
    <t>Width 1.</t>
  </si>
  <si>
    <t xml:space="preserve">Width 2. </t>
  </si>
  <si>
    <t xml:space="preserve">Height </t>
  </si>
  <si>
    <t xml:space="preserve">Concrete Waste </t>
  </si>
  <si>
    <t>Volume</t>
  </si>
  <si>
    <t>ea</t>
  </si>
  <si>
    <t>sft</t>
  </si>
  <si>
    <t xml:space="preserve">No. of Columns </t>
  </si>
  <si>
    <t>Diameter</t>
  </si>
  <si>
    <t>Height</t>
  </si>
  <si>
    <t>Length</t>
  </si>
  <si>
    <t>Width</t>
  </si>
  <si>
    <t>Continuous Footing</t>
  </si>
  <si>
    <t>Round Columns</t>
  </si>
  <si>
    <t xml:space="preserve">Rectangular Column </t>
  </si>
  <si>
    <t>Spread Footing</t>
  </si>
  <si>
    <t>Foundation Wall</t>
  </si>
  <si>
    <t>Slab Length</t>
  </si>
  <si>
    <t>Slab Width</t>
  </si>
  <si>
    <t>Slab Thickness</t>
  </si>
  <si>
    <t>Waste</t>
  </si>
  <si>
    <t>Bar Spacing</t>
  </si>
  <si>
    <t>Bar Size</t>
  </si>
  <si>
    <t>Bar Length</t>
  </si>
  <si>
    <t>Lap</t>
  </si>
  <si>
    <t>Area</t>
  </si>
  <si>
    <t>No. of Bars</t>
  </si>
  <si>
    <t>#</t>
  </si>
  <si>
    <t># of dia</t>
  </si>
  <si>
    <t>Slab on Grade with Rebar</t>
  </si>
  <si>
    <t>Wire Mesh</t>
  </si>
  <si>
    <t>Wire Mesh length</t>
  </si>
  <si>
    <t>Wire Mesh width</t>
  </si>
  <si>
    <t>Wire Mesh Lap</t>
  </si>
  <si>
    <t>Wire Mesh-Reinforced Slab on Grade</t>
  </si>
  <si>
    <t>T</t>
  </si>
  <si>
    <t>D</t>
  </si>
  <si>
    <t>W1</t>
  </si>
  <si>
    <t>W2</t>
  </si>
  <si>
    <t>S</t>
  </si>
  <si>
    <t xml:space="preserve">Waste </t>
  </si>
  <si>
    <t>Concrete Slab on Metal Deck</t>
  </si>
  <si>
    <t xml:space="preserve">Quantity </t>
  </si>
  <si>
    <t>Item</t>
  </si>
  <si>
    <t>C12x30</t>
  </si>
  <si>
    <t>W12x45</t>
  </si>
  <si>
    <t>W18x86</t>
  </si>
  <si>
    <t>W18x175</t>
  </si>
  <si>
    <t>W12x40</t>
  </si>
  <si>
    <t>W12x53</t>
  </si>
  <si>
    <t>Feet</t>
  </si>
  <si>
    <t xml:space="preserve">              Length</t>
  </si>
  <si>
    <t>inches</t>
  </si>
  <si>
    <t>lb/ft</t>
  </si>
  <si>
    <t>Each</t>
  </si>
  <si>
    <t>Total</t>
  </si>
  <si>
    <t>Weight</t>
  </si>
  <si>
    <t>Weight (lb)</t>
  </si>
  <si>
    <t>Weight (Tons)</t>
  </si>
  <si>
    <t>Structral Steel</t>
  </si>
  <si>
    <t xml:space="preserve">Length of building </t>
  </si>
  <si>
    <t>Width of building</t>
  </si>
  <si>
    <t>Length of sheet</t>
  </si>
  <si>
    <t>Width of Sheet</t>
  </si>
  <si>
    <t>Lap at ends of sheet</t>
  </si>
  <si>
    <t>Lap on sides of sheet</t>
  </si>
  <si>
    <t>Number of Rows</t>
  </si>
  <si>
    <t>Number of Columns</t>
  </si>
  <si>
    <t>Number of Sheets</t>
  </si>
  <si>
    <t>Metal Deck Floor or Roof</t>
  </si>
  <si>
    <t>Wall Length</t>
  </si>
  <si>
    <t>cft/100sft</t>
  </si>
  <si>
    <t>Mortar</t>
  </si>
  <si>
    <t>Grout</t>
  </si>
  <si>
    <t>Vertical Rebar (2)</t>
  </si>
  <si>
    <t>Length of Rebar (2)</t>
  </si>
  <si>
    <t>Vertical Rebar (1)</t>
  </si>
  <si>
    <t>Length of Rebar (1)</t>
  </si>
  <si>
    <t>Horizontal Rebar</t>
  </si>
  <si>
    <t>Bond Beam Blocks</t>
  </si>
  <si>
    <t>Standard Blocks</t>
  </si>
  <si>
    <t xml:space="preserve">Bond Beam </t>
  </si>
  <si>
    <t>Columns</t>
  </si>
  <si>
    <t>Rows</t>
  </si>
  <si>
    <t>Splice Length for Vertical Rebar</t>
  </si>
  <si>
    <t xml:space="preserve">Vertical Rebar Spacing </t>
  </si>
  <si>
    <t>Order Length of Horozontal Rebar</t>
  </si>
  <si>
    <t>Splice Length for Bond Beam Rebar</t>
  </si>
  <si>
    <t>Number of Horizontal Bars per Bond Beam</t>
  </si>
  <si>
    <t xml:space="preserve">Bond Beam Spacing </t>
  </si>
  <si>
    <t xml:space="preserve">Joint Thickness </t>
  </si>
  <si>
    <t>Block Height</t>
  </si>
  <si>
    <t xml:space="preserve">Block Length </t>
  </si>
  <si>
    <t>Wall Height</t>
  </si>
  <si>
    <t>Block Wall</t>
  </si>
  <si>
    <t>Brick Length</t>
  </si>
  <si>
    <t>Brick Height</t>
  </si>
  <si>
    <t>Joint Thickness</t>
  </si>
  <si>
    <t>Vertical Tie Spacing</t>
  </si>
  <si>
    <t>Horizontal Tie Spacing</t>
  </si>
  <si>
    <t>Rows of Brick</t>
  </si>
  <si>
    <t>Columns of Brick</t>
  </si>
  <si>
    <t>Bricks</t>
  </si>
  <si>
    <t>Rows of Ties</t>
  </si>
  <si>
    <t>Columns of Ties</t>
  </si>
  <si>
    <t>Ties</t>
  </si>
  <si>
    <t>Mortart</t>
  </si>
  <si>
    <t>cft/100 sft</t>
  </si>
  <si>
    <t>Brick Wall</t>
  </si>
  <si>
    <t>bft</t>
  </si>
  <si>
    <t>Board Depth</t>
  </si>
  <si>
    <t>Board Width</t>
  </si>
  <si>
    <t>Board Length</t>
  </si>
  <si>
    <t>Board Feet</t>
  </si>
  <si>
    <t>Board Foot Worksheet</t>
  </si>
  <si>
    <t>Area 1</t>
  </si>
  <si>
    <t>Area 2</t>
  </si>
  <si>
    <t>Area 3</t>
  </si>
  <si>
    <t>End Condition</t>
  </si>
  <si>
    <t>Joint Spacing</t>
  </si>
  <si>
    <t>Building Length</t>
  </si>
  <si>
    <t>Joists</t>
  </si>
  <si>
    <t>Aditional Joist</t>
  </si>
  <si>
    <t>Total Number of Joists</t>
  </si>
  <si>
    <t>Building Width</t>
  </si>
  <si>
    <t>No. of Rows</t>
  </si>
  <si>
    <t>No. of Columns</t>
  </si>
  <si>
    <t>Sheathing</t>
  </si>
  <si>
    <t>Floor Sheathing</t>
  </si>
  <si>
    <t xml:space="preserve">Deck Length </t>
  </si>
  <si>
    <t xml:space="preserve">Deck Width </t>
  </si>
  <si>
    <t>Nominal Width</t>
  </si>
  <si>
    <t>Actual Width</t>
  </si>
  <si>
    <t>Nominal Thickness</t>
  </si>
  <si>
    <t>Spacing Bewteen Boards</t>
  </si>
  <si>
    <t>Lineal Feet</t>
  </si>
  <si>
    <t xml:space="preserve">Board Feet </t>
  </si>
  <si>
    <t>Decking</t>
  </si>
  <si>
    <t>Stud Spacing</t>
  </si>
  <si>
    <t>Walls without Corners</t>
  </si>
  <si>
    <t>Corners</t>
  </si>
  <si>
    <t>Intersections</t>
  </si>
  <si>
    <t>Doorways</t>
  </si>
  <si>
    <t>Windows, Small</t>
  </si>
  <si>
    <t>Windows, Large</t>
  </si>
  <si>
    <t>Hold Downs at Corners</t>
  </si>
  <si>
    <t>Other Hold Downs</t>
  </si>
  <si>
    <t>Studs</t>
  </si>
  <si>
    <t>Span</t>
  </si>
  <si>
    <t>Overhang</t>
  </si>
  <si>
    <t>Slope</t>
  </si>
  <si>
    <t>Rise</t>
  </si>
  <si>
    <t>Common Rafter</t>
  </si>
  <si>
    <t>Hip Rafter</t>
  </si>
  <si>
    <t>:12</t>
  </si>
  <si>
    <t>Length of a Rafter</t>
  </si>
  <si>
    <t>Start__Below Top of Wall</t>
  </si>
  <si>
    <t>Width of Top of Footing</t>
  </si>
  <si>
    <t xml:space="preserve">Extra Cornor </t>
  </si>
  <si>
    <t>Coverage</t>
  </si>
  <si>
    <t>Perimeter</t>
  </si>
  <si>
    <t xml:space="preserve">Gallons of Waterproofing </t>
  </si>
  <si>
    <t xml:space="preserve">Area of Waterproofing </t>
  </si>
  <si>
    <t>Wall Legnth1</t>
  </si>
  <si>
    <t>Wall Legnth2</t>
  </si>
  <si>
    <t>Wall Legnth3</t>
  </si>
  <si>
    <t>Wall Legnth4</t>
  </si>
  <si>
    <t>Wall Legnth5</t>
  </si>
  <si>
    <t>Wall Legnth6</t>
  </si>
  <si>
    <t>sft/gal</t>
  </si>
  <si>
    <t>gal</t>
  </si>
  <si>
    <t xml:space="preserve">Waterproofing </t>
  </si>
  <si>
    <t>Unerlayment Width</t>
  </si>
  <si>
    <t>Squares per Roll</t>
  </si>
  <si>
    <t>Sie Lap</t>
  </si>
  <si>
    <t>End Lap</t>
  </si>
  <si>
    <t>Total Length of Hips/Valleys</t>
  </si>
  <si>
    <t>Total Length of Ridges</t>
  </si>
  <si>
    <t>Number of Ridges</t>
  </si>
  <si>
    <t>Rolls</t>
  </si>
  <si>
    <t>Roof Length (planview)</t>
  </si>
  <si>
    <t>Roof Width (planview)</t>
  </si>
  <si>
    <t>squ</t>
  </si>
  <si>
    <t>Insulation Width</t>
  </si>
  <si>
    <t>Square Foot per Roll</t>
  </si>
  <si>
    <t xml:space="preserve">Number </t>
  </si>
  <si>
    <t>Width/Height</t>
  </si>
  <si>
    <t>Number</t>
  </si>
  <si>
    <t>Base</t>
  </si>
  <si>
    <t>Total Area</t>
  </si>
  <si>
    <t>Area of Insulation</t>
  </si>
  <si>
    <t xml:space="preserve">Rolls </t>
  </si>
  <si>
    <t xml:space="preserve">Triangular Areas </t>
  </si>
  <si>
    <t xml:space="preserve">Rectangular Areas </t>
  </si>
  <si>
    <t>Batt Insulation</t>
  </si>
  <si>
    <t>Shingle Exposure</t>
  </si>
  <si>
    <t>Length of Starter Row</t>
  </si>
  <si>
    <t>Total Length of Hips/Valley</t>
  </si>
  <si>
    <t>Starter Strip</t>
  </si>
  <si>
    <t xml:space="preserve">Field Shingles </t>
  </si>
  <si>
    <t>Hip/Valley Shingles</t>
  </si>
  <si>
    <t>Ridge Cap Shingles</t>
  </si>
  <si>
    <t>Hip/Valley Cap Shingles</t>
  </si>
  <si>
    <t>Total Shingles</t>
  </si>
  <si>
    <t xml:space="preserve">Roof Felting </t>
  </si>
  <si>
    <t>Exposure</t>
  </si>
  <si>
    <t xml:space="preserve">Length </t>
  </si>
  <si>
    <t>Rectangular Area</t>
  </si>
  <si>
    <t>Triangular Area</t>
  </si>
  <si>
    <t>Siding</t>
  </si>
  <si>
    <t>Room Length</t>
  </si>
  <si>
    <t>Room Width</t>
  </si>
  <si>
    <t>Room Height</t>
  </si>
  <si>
    <t>Ceiling Area</t>
  </si>
  <si>
    <t>Wall Area</t>
  </si>
  <si>
    <t>Totals</t>
  </si>
  <si>
    <t>Room 1</t>
  </si>
  <si>
    <t>Room 2</t>
  </si>
  <si>
    <t>Room3</t>
  </si>
  <si>
    <t>Room 4</t>
  </si>
  <si>
    <t>Room 5</t>
  </si>
  <si>
    <t>Drywall</t>
  </si>
  <si>
    <t>Tile size</t>
  </si>
  <si>
    <t>Joint Width</t>
  </si>
  <si>
    <t>Tiles</t>
  </si>
  <si>
    <t>Ceramic Tiles</t>
  </si>
  <si>
    <t>Density</t>
  </si>
  <si>
    <t>lb/cft</t>
  </si>
  <si>
    <t>tons</t>
  </si>
  <si>
    <t>Asphault or Base</t>
  </si>
  <si>
    <t>Lenth of Trench</t>
  </si>
  <si>
    <t>Width of Trench Bottom</t>
  </si>
  <si>
    <t>Depth at One End</t>
  </si>
  <si>
    <t>Depth at Other End</t>
  </si>
  <si>
    <t>Depth of Vertical Wall</t>
  </si>
  <si>
    <t>Slope of Trench Walls</t>
  </si>
  <si>
    <t>ft:ft</t>
  </si>
  <si>
    <t>Length of Trench</t>
  </si>
  <si>
    <t>Depth of Verical Wall</t>
  </si>
  <si>
    <t>Width of Trench</t>
  </si>
  <si>
    <t>Depth of Bedding</t>
  </si>
  <si>
    <t>Depth of Pipe in Bedding</t>
  </si>
  <si>
    <t>Diameter of Pipe</t>
  </si>
  <si>
    <t>Length of Pipe</t>
  </si>
  <si>
    <r>
      <t xml:space="preserve">Angle </t>
    </r>
    <r>
      <rPr>
        <i/>
        <sz val="11"/>
        <color theme="1"/>
        <rFont val="Calibri"/>
        <family val="2"/>
        <scheme val="minor"/>
      </rPr>
      <t>a</t>
    </r>
  </si>
  <si>
    <t>rad</t>
  </si>
  <si>
    <t>Width of trench</t>
  </si>
  <si>
    <t xml:space="preserve">Depth of Bedding </t>
  </si>
  <si>
    <t>Diameter if Pipe</t>
  </si>
  <si>
    <t>Bedding Volume for Pipe Surrounded by Bedding</t>
  </si>
  <si>
    <t>Request For Material Quote</t>
  </si>
  <si>
    <t>To:</t>
  </si>
  <si>
    <t>From:</t>
  </si>
  <si>
    <t>Discription</t>
  </si>
  <si>
    <t xml:space="preserve">$/Unit </t>
  </si>
  <si>
    <t>Cost</t>
  </si>
  <si>
    <t>Subtotal</t>
  </si>
  <si>
    <t>Delivery</t>
  </si>
  <si>
    <t>Sales Tax</t>
  </si>
  <si>
    <t>TOTAL</t>
  </si>
  <si>
    <t>The supplier agrees to supply the material in a timely manner and for the prices stated above. This quote is good for 60 days.</t>
  </si>
  <si>
    <t>By:</t>
  </si>
  <si>
    <t>Date:</t>
  </si>
  <si>
    <t>Project</t>
  </si>
  <si>
    <t>Adjustment Factor</t>
  </si>
  <si>
    <t>Crew Size</t>
  </si>
  <si>
    <t>System Efficiency</t>
  </si>
  <si>
    <t>Units</t>
  </si>
  <si>
    <t>Average Cycle Time</t>
  </si>
  <si>
    <t>Labor-Hour/Unit</t>
  </si>
  <si>
    <t>CT(min.)</t>
  </si>
  <si>
    <t>OBS.</t>
  </si>
  <si>
    <t>Cycle Time Calculator</t>
  </si>
  <si>
    <t>Rate of Progress Calculator</t>
  </si>
  <si>
    <t>Quantity</t>
  </si>
  <si>
    <t>Rate of Progress</t>
  </si>
  <si>
    <t>No. of Moves</t>
  </si>
  <si>
    <t>Time per Moves</t>
  </si>
  <si>
    <t>System Efficienty</t>
  </si>
  <si>
    <t xml:space="preserve">Labor-Hour/Unit </t>
  </si>
  <si>
    <t>1hr/unit</t>
  </si>
  <si>
    <t>units</t>
  </si>
  <si>
    <t>units per min</t>
  </si>
  <si>
    <t>min.</t>
  </si>
  <si>
    <t>persons</t>
  </si>
  <si>
    <t>per 60 min. hr</t>
  </si>
  <si>
    <t>Wage Calculation Worksheet</t>
  </si>
  <si>
    <t>Hours per</t>
  </si>
  <si>
    <t>Week</t>
  </si>
  <si>
    <t>Weeks</t>
  </si>
  <si>
    <t>per Year</t>
  </si>
  <si>
    <t>Rate</t>
  </si>
  <si>
    <t>Wages</t>
  </si>
  <si>
    <t>Week Type 1</t>
  </si>
  <si>
    <t>Week Type 2</t>
  </si>
  <si>
    <t>Week Type 3</t>
  </si>
  <si>
    <t>Week Type 4</t>
  </si>
  <si>
    <t>Vacation &amp; Sick Leave</t>
  </si>
  <si>
    <t>Bonus</t>
  </si>
  <si>
    <t>Billable Hours</t>
  </si>
  <si>
    <t>Allowances</t>
  </si>
  <si>
    <t>Employee Paid Health Ins.</t>
  </si>
  <si>
    <t>Social Security/Med. Wages</t>
  </si>
  <si>
    <t>Wages and Allowances</t>
  </si>
  <si>
    <t>Social Security</t>
  </si>
  <si>
    <t>Medicare</t>
  </si>
  <si>
    <t>SUTA</t>
  </si>
  <si>
    <t>FUTA</t>
  </si>
  <si>
    <t>Workers Compensation</t>
  </si>
  <si>
    <t>General Liability</t>
  </si>
  <si>
    <t>Employer Paid Health Ins.</t>
  </si>
  <si>
    <t>Retierment</t>
  </si>
  <si>
    <t>Union Payments</t>
  </si>
  <si>
    <t>on first</t>
  </si>
  <si>
    <t>$/$100 of Wages</t>
  </si>
  <si>
    <t>of wages</t>
  </si>
  <si>
    <t>per month</t>
  </si>
  <si>
    <t>Match on</t>
  </si>
  <si>
    <t>month</t>
  </si>
  <si>
    <t>Annual Cost of Employee</t>
  </si>
  <si>
    <t>Average Hourly Wage Rate</t>
  </si>
  <si>
    <t>Labor Burden Markup</t>
  </si>
  <si>
    <t xml:space="preserve">Per Month </t>
  </si>
  <si>
    <t>Months</t>
  </si>
  <si>
    <t>Ownership Cost</t>
  </si>
  <si>
    <t>Equipment Life (yr)</t>
  </si>
  <si>
    <t>Salvage Price ($)</t>
  </si>
  <si>
    <t>Purchase Price ($)</t>
  </si>
  <si>
    <t>Bilable Hpurs (hr/yr)</t>
  </si>
  <si>
    <t>Interest Rate</t>
  </si>
  <si>
    <t>Tax &amp; Licencing ($/yr)</t>
  </si>
  <si>
    <t>Storage ($/yr)</t>
  </si>
  <si>
    <t>Ownership Cost ($/hr)</t>
  </si>
  <si>
    <t>Total ($/hr)</t>
  </si>
  <si>
    <t>Insurance ($/yr)</t>
  </si>
  <si>
    <t>Operating Cost</t>
  </si>
  <si>
    <t>Tires ($)</t>
  </si>
  <si>
    <t>Tire Life (hr)</t>
  </si>
  <si>
    <t xml:space="preserve">Repair Multiplier </t>
  </si>
  <si>
    <t>Fuel Consumption (gal/hr)</t>
  </si>
  <si>
    <t>Fuel Cost ($/gal)</t>
  </si>
  <si>
    <t>Cranckcase (gal/hr)</t>
  </si>
  <si>
    <t>Transmission (gal/hr)</t>
  </si>
  <si>
    <t>Final Drives (gal/hr)</t>
  </si>
  <si>
    <t>Hydraulic Controls (gal/hr)</t>
  </si>
  <si>
    <t>Grease (tubes/hr)</t>
  </si>
  <si>
    <t>Filters ($/hr)</t>
  </si>
  <si>
    <t>Crankcase Oil ($/gal)</t>
  </si>
  <si>
    <t>Transmission Fluid ($/gal)</t>
  </si>
  <si>
    <t>Final Drive Oil ($/gal)</t>
  </si>
  <si>
    <t>Hydraulic Fluid ($/gal)</t>
  </si>
  <si>
    <t>Grease ($/tube)</t>
  </si>
  <si>
    <t>Repair Reserve ($/hr)</t>
  </si>
  <si>
    <t>Tires ($/hr)</t>
  </si>
  <si>
    <t>Fuel ($/hr)</t>
  </si>
  <si>
    <t>Lubricants &amp; Filters ($/hr)</t>
  </si>
  <si>
    <t>Operation Cost ($/hr)</t>
  </si>
  <si>
    <t>Labor</t>
  </si>
  <si>
    <t>Class</t>
  </si>
  <si>
    <t>HR/Day</t>
  </si>
  <si>
    <t>Daily Wages</t>
  </si>
  <si>
    <t>Foreman</t>
  </si>
  <si>
    <t>Pipe Layer</t>
  </si>
  <si>
    <t>Operator</t>
  </si>
  <si>
    <t>Cost Per Labor Hour</t>
  </si>
  <si>
    <t>Equipment</t>
  </si>
  <si>
    <t>Hourly Rate</t>
  </si>
  <si>
    <t>Hr/Day</t>
  </si>
  <si>
    <t>Daily Rate</t>
  </si>
  <si>
    <t>Excavator</t>
  </si>
  <si>
    <t>Loader</t>
  </si>
  <si>
    <t>Trench Box</t>
  </si>
  <si>
    <t>Gravel Box</t>
  </si>
  <si>
    <t>From</t>
  </si>
  <si>
    <t>To</t>
  </si>
  <si>
    <t>Base Rate</t>
  </si>
  <si>
    <t>Per Additional $1,000</t>
  </si>
  <si>
    <t>for first</t>
  </si>
  <si>
    <t>Input Value</t>
  </si>
  <si>
    <t>Valuation Rounded</t>
  </si>
  <si>
    <t>Building Permit Cost</t>
  </si>
  <si>
    <t>Rate (%)</t>
  </si>
  <si>
    <t>Bid</t>
  </si>
  <si>
    <t>Bid Amount</t>
  </si>
  <si>
    <t>Bond Cost</t>
  </si>
  <si>
    <t>BIG-D</t>
  </si>
  <si>
    <t>West Valley Park</t>
  </si>
  <si>
    <t>Platt Park Restrooms</t>
  </si>
  <si>
    <t>Date</t>
  </si>
  <si>
    <t>Costs</t>
  </si>
  <si>
    <t>P&amp;O</t>
  </si>
  <si>
    <t>Jacobsen</t>
  </si>
  <si>
    <t>South Street Improvments</t>
  </si>
  <si>
    <t>West City Park</t>
  </si>
  <si>
    <t>East Side Community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</si>
</sst>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* #,##0.00_);_(* \(#,##0.00\);_(* &quot;-&quot;_);_(@_)"/>
    <numFmt numFmtId="167" formatCode="_(* #,##0.0_);_(* \(#,##0.0\);_(* &quot;-&quot;_);_(@_)"/>
    <numFmt numFmtId="168" formatCode="0.000000"/>
    <numFmt numFmtId="169" formatCode="&quot;$&quot;#,##0.00"/>
    <numFmt numFmtId="170" formatCode="0.0%"/>
    <numFmt numFmtId="171" formatCode="&quot;$&quot;#,##0"/>
    <numFmt numFmtId="175" formatCode="&quot;$&quot;#,##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36"/>
      <color theme="1"/>
      <name val="Palatino Linotype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 applyAlignment="1">
      <alignment horizontal="center"/>
    </xf>
    <xf numFmtId="2" fontId="0" fillId="2" borderId="0" xfId="0" applyNumberFormat="1" applyFill="1" applyBorder="1"/>
    <xf numFmtId="0" fontId="0" fillId="2" borderId="2" xfId="0" applyFill="1" applyBorder="1"/>
    <xf numFmtId="0" fontId="0" fillId="2" borderId="9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16" xfId="0" applyFill="1" applyBorder="1"/>
    <xf numFmtId="0" fontId="0" fillId="2" borderId="17" xfId="0" applyFill="1" applyBorder="1"/>
    <xf numFmtId="0" fontId="0" fillId="2" borderId="13" xfId="0" applyFill="1" applyBorder="1"/>
    <xf numFmtId="0" fontId="0" fillId="2" borderId="3" xfId="0" applyFill="1" applyBorder="1"/>
    <xf numFmtId="0" fontId="0" fillId="0" borderId="1" xfId="0" applyBorder="1"/>
    <xf numFmtId="0" fontId="0" fillId="2" borderId="19" xfId="0" applyFill="1" applyBorder="1"/>
    <xf numFmtId="0" fontId="0" fillId="2" borderId="20" xfId="0" applyFill="1" applyBorder="1"/>
    <xf numFmtId="0" fontId="0" fillId="2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11" xfId="0" applyNumberFormat="1" applyBorder="1"/>
    <xf numFmtId="0" fontId="0" fillId="0" borderId="20" xfId="0" applyBorder="1"/>
    <xf numFmtId="0" fontId="0" fillId="0" borderId="19" xfId="0" applyBorder="1"/>
    <xf numFmtId="0" fontId="0" fillId="0" borderId="26" xfId="0" applyBorder="1" applyAlignment="1">
      <alignment horizontal="center"/>
    </xf>
    <xf numFmtId="1" fontId="0" fillId="0" borderId="5" xfId="0" applyNumberFormat="1" applyBorder="1"/>
    <xf numFmtId="0" fontId="0" fillId="2" borderId="10" xfId="0" applyFill="1" applyBorder="1"/>
    <xf numFmtId="2" fontId="0" fillId="2" borderId="11" xfId="0" applyNumberFormat="1" applyFill="1" applyBorder="1"/>
    <xf numFmtId="0" fontId="0" fillId="2" borderId="27" xfId="0" applyFill="1" applyBorder="1" applyAlignment="1">
      <alignment horizontal="center"/>
    </xf>
    <xf numFmtId="9" fontId="0" fillId="0" borderId="23" xfId="1" applyFont="1" applyBorder="1" applyAlignment="1">
      <alignment horizontal="center"/>
    </xf>
    <xf numFmtId="2" fontId="0" fillId="2" borderId="5" xfId="0" applyNumberFormat="1" applyFill="1" applyBorder="1"/>
    <xf numFmtId="2" fontId="0" fillId="0" borderId="15" xfId="0" applyNumberFormat="1" applyBorder="1"/>
    <xf numFmtId="2" fontId="0" fillId="2" borderId="15" xfId="0" applyNumberFormat="1" applyFill="1" applyBorder="1"/>
    <xf numFmtId="0" fontId="0" fillId="2" borderId="21" xfId="0" applyFill="1" applyBorder="1" applyAlignment="1">
      <alignment horizontal="center"/>
    </xf>
    <xf numFmtId="0" fontId="0" fillId="2" borderId="1" xfId="0" applyFill="1" applyBorder="1"/>
    <xf numFmtId="0" fontId="0" fillId="2" borderId="29" xfId="0" applyFill="1" applyBorder="1"/>
    <xf numFmtId="0" fontId="0" fillId="2" borderId="30" xfId="0" applyFill="1" applyBorder="1"/>
    <xf numFmtId="0" fontId="0" fillId="0" borderId="31" xfId="0" applyBorder="1"/>
    <xf numFmtId="0" fontId="0" fillId="2" borderId="31" xfId="0" applyFill="1" applyBorder="1"/>
    <xf numFmtId="0" fontId="0" fillId="0" borderId="32" xfId="0" applyBorder="1"/>
    <xf numFmtId="0" fontId="0" fillId="0" borderId="33" xfId="0" applyBorder="1"/>
    <xf numFmtId="0" fontId="0" fillId="2" borderId="34" xfId="0" applyFill="1" applyBorder="1"/>
    <xf numFmtId="0" fontId="0" fillId="0" borderId="6" xfId="0" applyBorder="1"/>
    <xf numFmtId="0" fontId="0" fillId="0" borderId="5" xfId="0" applyBorder="1" applyAlignment="1">
      <alignment horizontal="right"/>
    </xf>
    <xf numFmtId="0" fontId="0" fillId="0" borderId="26" xfId="0" applyBorder="1"/>
    <xf numFmtId="0" fontId="0" fillId="0" borderId="37" xfId="0" applyBorder="1"/>
    <xf numFmtId="0" fontId="0" fillId="0" borderId="38" xfId="0" applyBorder="1"/>
    <xf numFmtId="0" fontId="0" fillId="0" borderId="18" xfId="0" applyBorder="1"/>
    <xf numFmtId="0" fontId="0" fillId="0" borderId="38" xfId="0" applyBorder="1" applyAlignment="1">
      <alignment horizontal="left"/>
    </xf>
    <xf numFmtId="0" fontId="0" fillId="2" borderId="36" xfId="0" applyFill="1" applyBorder="1"/>
    <xf numFmtId="0" fontId="0" fillId="2" borderId="37" xfId="0" applyFill="1" applyBorder="1"/>
    <xf numFmtId="0" fontId="0" fillId="2" borderId="24" xfId="0" applyFill="1" applyBorder="1"/>
    <xf numFmtId="0" fontId="0" fillId="2" borderId="32" xfId="0" applyFill="1" applyBorder="1"/>
    <xf numFmtId="0" fontId="0" fillId="2" borderId="33" xfId="0" applyFill="1" applyBorder="1"/>
    <xf numFmtId="164" fontId="0" fillId="0" borderId="28" xfId="2" applyNumberFormat="1" applyFont="1" applyBorder="1"/>
    <xf numFmtId="0" fontId="0" fillId="0" borderId="37" xfId="0" applyFill="1" applyBorder="1"/>
    <xf numFmtId="0" fontId="0" fillId="0" borderId="24" xfId="0" applyFill="1" applyBorder="1"/>
    <xf numFmtId="0" fontId="0" fillId="0" borderId="39" xfId="0" applyBorder="1"/>
    <xf numFmtId="0" fontId="0" fillId="0" borderId="40" xfId="0" applyBorder="1"/>
    <xf numFmtId="0" fontId="0" fillId="0" borderId="40" xfId="0" applyBorder="1" applyAlignment="1">
      <alignment horizontal="right"/>
    </xf>
    <xf numFmtId="2" fontId="0" fillId="0" borderId="35" xfId="0" applyNumberFormat="1" applyBorder="1"/>
    <xf numFmtId="0" fontId="0" fillId="0" borderId="41" xfId="0" applyBorder="1"/>
    <xf numFmtId="0" fontId="0" fillId="0" borderId="42" xfId="0" applyBorder="1"/>
    <xf numFmtId="0" fontId="0" fillId="0" borderId="44" xfId="0" applyBorder="1"/>
    <xf numFmtId="1" fontId="0" fillId="0" borderId="43" xfId="0" applyNumberFormat="1" applyBorder="1"/>
    <xf numFmtId="0" fontId="0" fillId="2" borderId="41" xfId="0" applyFill="1" applyBorder="1"/>
    <xf numFmtId="0" fontId="0" fillId="2" borderId="43" xfId="0" applyFill="1" applyBorder="1"/>
    <xf numFmtId="0" fontId="0" fillId="0" borderId="45" xfId="0" applyBorder="1"/>
    <xf numFmtId="0" fontId="0" fillId="0" borderId="46" xfId="0" applyBorder="1"/>
    <xf numFmtId="0" fontId="0" fillId="0" borderId="35" xfId="0" applyBorder="1" applyAlignment="1">
      <alignment horizontal="center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2" fontId="0" fillId="0" borderId="0" xfId="0" applyNumberFormat="1" applyBorder="1"/>
    <xf numFmtId="0" fontId="0" fillId="0" borderId="47" xfId="0" applyBorder="1" applyAlignment="1">
      <alignment horizontal="center"/>
    </xf>
    <xf numFmtId="1" fontId="0" fillId="0" borderId="11" xfId="0" applyNumberFormat="1" applyBorder="1"/>
    <xf numFmtId="41" fontId="0" fillId="0" borderId="5" xfId="3" applyFont="1" applyBorder="1"/>
    <xf numFmtId="166" fontId="0" fillId="0" borderId="0" xfId="3" applyNumberFormat="1" applyFont="1" applyBorder="1"/>
    <xf numFmtId="166" fontId="0" fillId="0" borderId="3" xfId="3" applyNumberFormat="1" applyFont="1" applyBorder="1"/>
    <xf numFmtId="166" fontId="0" fillId="0" borderId="5" xfId="3" applyNumberFormat="1" applyFont="1" applyBorder="1"/>
    <xf numFmtId="41" fontId="0" fillId="0" borderId="3" xfId="3" applyFont="1" applyBorder="1"/>
    <xf numFmtId="41" fontId="0" fillId="0" borderId="0" xfId="3" applyFont="1" applyBorder="1"/>
    <xf numFmtId="167" fontId="0" fillId="0" borderId="11" xfId="3" applyNumberFormat="1" applyFont="1" applyBorder="1"/>
    <xf numFmtId="0" fontId="0" fillId="0" borderId="0" xfId="0" applyAlignment="1">
      <alignment horizontal="center"/>
    </xf>
    <xf numFmtId="0" fontId="0" fillId="0" borderId="50" xfId="0" applyBorder="1"/>
    <xf numFmtId="0" fontId="0" fillId="0" borderId="52" xfId="0" applyBorder="1"/>
    <xf numFmtId="0" fontId="0" fillId="0" borderId="51" xfId="0" applyBorder="1"/>
    <xf numFmtId="0" fontId="0" fillId="0" borderId="53" xfId="0" applyBorder="1"/>
    <xf numFmtId="0" fontId="0" fillId="0" borderId="54" xfId="0" applyBorder="1"/>
    <xf numFmtId="0" fontId="0" fillId="0" borderId="49" xfId="0" applyBorder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5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8" xfId="0" applyBorder="1"/>
    <xf numFmtId="0" fontId="0" fillId="0" borderId="19" xfId="0" applyBorder="1" applyAlignment="1">
      <alignment horizontal="center"/>
    </xf>
    <xf numFmtId="0" fontId="0" fillId="0" borderId="48" xfId="0" applyBorder="1" applyAlignment="1">
      <alignment horizontal="center"/>
    </xf>
    <xf numFmtId="44" fontId="0" fillId="0" borderId="50" xfId="0" applyNumberFormat="1" applyBorder="1"/>
    <xf numFmtId="44" fontId="0" fillId="0" borderId="52" xfId="0" applyNumberFormat="1" applyBorder="1"/>
    <xf numFmtId="9" fontId="0" fillId="0" borderId="50" xfId="1" applyFont="1" applyBorder="1"/>
    <xf numFmtId="0" fontId="0" fillId="0" borderId="5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3" xfId="0" applyBorder="1"/>
    <xf numFmtId="168" fontId="0" fillId="0" borderId="19" xfId="0" applyNumberFormat="1" applyBorder="1"/>
    <xf numFmtId="0" fontId="0" fillId="0" borderId="8" xfId="0" applyBorder="1"/>
    <xf numFmtId="0" fontId="0" fillId="0" borderId="55" xfId="0" applyBorder="1"/>
    <xf numFmtId="169" fontId="0" fillId="0" borderId="2" xfId="4" applyNumberFormat="1" applyFont="1" applyBorder="1" applyAlignment="1">
      <alignment horizontal="right"/>
    </xf>
    <xf numFmtId="169" fontId="0" fillId="0" borderId="0" xfId="4" applyNumberFormat="1" applyFont="1" applyBorder="1" applyAlignment="1">
      <alignment horizontal="right"/>
    </xf>
    <xf numFmtId="169" fontId="0" fillId="0" borderId="2" xfId="4" applyNumberFormat="1" applyFont="1" applyBorder="1"/>
    <xf numFmtId="169" fontId="0" fillId="0" borderId="0" xfId="0" applyNumberFormat="1" applyBorder="1"/>
    <xf numFmtId="169" fontId="0" fillId="0" borderId="0" xfId="4" applyNumberFormat="1" applyFont="1" applyBorder="1"/>
    <xf numFmtId="169" fontId="0" fillId="0" borderId="6" xfId="0" applyNumberFormat="1" applyBorder="1"/>
    <xf numFmtId="169" fontId="0" fillId="0" borderId="8" xfId="0" applyNumberFormat="1" applyBorder="1"/>
    <xf numFmtId="164" fontId="0" fillId="0" borderId="6" xfId="2" applyNumberFormat="1" applyFont="1" applyBorder="1"/>
    <xf numFmtId="169" fontId="0" fillId="0" borderId="56" xfId="0" applyNumberFormat="1" applyBorder="1"/>
    <xf numFmtId="9" fontId="0" fillId="0" borderId="0" xfId="1" applyFont="1" applyBorder="1"/>
    <xf numFmtId="9" fontId="0" fillId="0" borderId="3" xfId="1" applyFont="1" applyBorder="1"/>
    <xf numFmtId="170" fontId="0" fillId="0" borderId="0" xfId="1" applyNumberFormat="1" applyFont="1" applyBorder="1"/>
    <xf numFmtId="10" fontId="0" fillId="0" borderId="0" xfId="1" applyNumberFormat="1" applyFont="1" applyBorder="1"/>
    <xf numFmtId="171" fontId="0" fillId="0" borderId="0" xfId="0" applyNumberFormat="1" applyBorder="1"/>
    <xf numFmtId="9" fontId="0" fillId="0" borderId="0" xfId="1" applyFont="1" applyFill="1" applyBorder="1"/>
    <xf numFmtId="169" fontId="0" fillId="0" borderId="47" xfId="0" applyNumberFormat="1" applyBorder="1"/>
    <xf numFmtId="169" fontId="8" fillId="0" borderId="8" xfId="0" applyNumberFormat="1" applyFont="1" applyBorder="1"/>
    <xf numFmtId="10" fontId="8" fillId="0" borderId="12" xfId="1" applyNumberFormat="1" applyFont="1" applyBorder="1"/>
    <xf numFmtId="1" fontId="0" fillId="0" borderId="8" xfId="0" applyNumberFormat="1" applyBorder="1"/>
    <xf numFmtId="9" fontId="0" fillId="0" borderId="8" xfId="1" applyFont="1" applyBorder="1"/>
    <xf numFmtId="169" fontId="8" fillId="0" borderId="57" xfId="0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0" fillId="0" borderId="47" xfId="0" applyBorder="1"/>
    <xf numFmtId="0" fontId="2" fillId="0" borderId="20" xfId="0" applyFont="1" applyBorder="1"/>
    <xf numFmtId="169" fontId="10" fillId="0" borderId="57" xfId="0" applyNumberFormat="1" applyFont="1" applyBorder="1"/>
    <xf numFmtId="0" fontId="11" fillId="0" borderId="20" xfId="0" applyFont="1" applyBorder="1"/>
    <xf numFmtId="164" fontId="0" fillId="0" borderId="8" xfId="2" applyNumberFormat="1" applyFont="1" applyBorder="1"/>
    <xf numFmtId="175" fontId="0" fillId="0" borderId="8" xfId="0" applyNumberFormat="1" applyBorder="1"/>
    <xf numFmtId="169" fontId="0" fillId="0" borderId="0" xfId="0" applyNumberForma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55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2" fontId="0" fillId="0" borderId="2" xfId="0" applyNumberFormat="1" applyBorder="1"/>
    <xf numFmtId="169" fontId="0" fillId="0" borderId="1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9" fontId="0" fillId="0" borderId="3" xfId="0" applyNumberFormat="1" applyBorder="1"/>
    <xf numFmtId="2" fontId="0" fillId="0" borderId="3" xfId="0" applyNumberFormat="1" applyBorder="1"/>
    <xf numFmtId="0" fontId="9" fillId="0" borderId="11" xfId="0" applyFont="1" applyBorder="1" applyAlignment="1">
      <alignment horizontal="center"/>
    </xf>
    <xf numFmtId="169" fontId="9" fillId="0" borderId="12" xfId="0" applyNumberFormat="1" applyFont="1" applyBorder="1"/>
    <xf numFmtId="0" fontId="0" fillId="0" borderId="6" xfId="0" applyBorder="1" applyAlignment="1">
      <alignment horizontal="center" wrapText="1"/>
    </xf>
    <xf numFmtId="169" fontId="0" fillId="0" borderId="9" xfId="2" applyNumberFormat="1" applyFont="1" applyBorder="1"/>
    <xf numFmtId="169" fontId="0" fillId="0" borderId="2" xfId="0" applyNumberFormat="1" applyBorder="1"/>
    <xf numFmtId="169" fontId="0" fillId="0" borderId="7" xfId="2" applyNumberFormat="1" applyFont="1" applyBorder="1"/>
    <xf numFmtId="169" fontId="0" fillId="0" borderId="10" xfId="2" applyNumberFormat="1" applyFont="1" applyBorder="1"/>
    <xf numFmtId="169" fontId="0" fillId="0" borderId="11" xfId="0" applyNumberFormat="1" applyBorder="1"/>
    <xf numFmtId="0" fontId="0" fillId="0" borderId="11" xfId="0" applyBorder="1" applyAlignment="1">
      <alignment horizontal="right"/>
    </xf>
    <xf numFmtId="169" fontId="0" fillId="0" borderId="0" xfId="0" applyNumberFormat="1" applyFill="1" applyBorder="1"/>
    <xf numFmtId="169" fontId="0" fillId="0" borderId="58" xfId="0" applyNumberFormat="1" applyBorder="1"/>
    <xf numFmtId="169" fontId="8" fillId="0" borderId="12" xfId="0" applyNumberFormat="1" applyFont="1" applyBorder="1"/>
    <xf numFmtId="0" fontId="8" fillId="0" borderId="39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169" fontId="8" fillId="0" borderId="56" xfId="0" applyNumberFormat="1" applyFont="1" applyBorder="1"/>
    <xf numFmtId="169" fontId="0" fillId="0" borderId="7" xfId="0" applyNumberFormat="1" applyBorder="1"/>
    <xf numFmtId="10" fontId="0" fillId="0" borderId="8" xfId="1" applyNumberFormat="1" applyFont="1" applyBorder="1"/>
    <xf numFmtId="169" fontId="0" fillId="0" borderId="10" xfId="0" applyNumberFormat="1" applyBorder="1"/>
    <xf numFmtId="10" fontId="0" fillId="0" borderId="12" xfId="1" applyNumberFormat="1" applyFon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5" xfId="0" applyBorder="1" applyAlignment="1">
      <alignment horizontal="center"/>
    </xf>
    <xf numFmtId="0" fontId="8" fillId="0" borderId="10" xfId="0" applyFont="1" applyBorder="1"/>
    <xf numFmtId="0" fontId="9" fillId="0" borderId="0" xfId="0" applyFont="1"/>
    <xf numFmtId="14" fontId="0" fillId="0" borderId="2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0" fontId="0" fillId="0" borderId="2" xfId="1" applyNumberFormat="1" applyFont="1" applyBorder="1"/>
  </cellXfs>
  <cellStyles count="5">
    <cellStyle name="Comma" xfId="2" builtinId="3"/>
    <cellStyle name="Comma [0]" xfId="3" builtinId="6"/>
    <cellStyle name="Currency" xfId="4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D17" sqref="D17"/>
    </sheetView>
  </sheetViews>
  <sheetFormatPr defaultRowHeight="15" x14ac:dyDescent="0.25"/>
  <cols>
    <col min="1" max="1" width="16.42578125" customWidth="1"/>
    <col min="3" max="3" width="9.140625" style="1"/>
  </cols>
  <sheetData>
    <row r="1" spans="1:3" ht="19.5" thickBot="1" x14ac:dyDescent="0.35">
      <c r="A1" s="2" t="s">
        <v>27</v>
      </c>
    </row>
    <row r="2" spans="1:3" x14ac:dyDescent="0.25">
      <c r="A2" s="25" t="s">
        <v>0</v>
      </c>
      <c r="B2" s="26">
        <v>10</v>
      </c>
      <c r="C2" s="32" t="s">
        <v>17</v>
      </c>
    </row>
    <row r="3" spans="1:3" x14ac:dyDescent="0.25">
      <c r="A3" s="8" t="s">
        <v>1</v>
      </c>
      <c r="B3" s="4">
        <v>3</v>
      </c>
      <c r="C3" s="33" t="s">
        <v>9</v>
      </c>
    </row>
    <row r="4" spans="1:3" x14ac:dyDescent="0.25">
      <c r="A4" s="27"/>
      <c r="B4" s="28">
        <v>2</v>
      </c>
      <c r="C4" s="34" t="s">
        <v>7</v>
      </c>
    </row>
    <row r="5" spans="1:3" x14ac:dyDescent="0.25">
      <c r="A5" s="8" t="s">
        <v>2</v>
      </c>
      <c r="B5" s="4">
        <v>3</v>
      </c>
      <c r="C5" s="33" t="s">
        <v>9</v>
      </c>
    </row>
    <row r="6" spans="1:3" x14ac:dyDescent="0.25">
      <c r="A6" s="27"/>
      <c r="B6" s="28">
        <v>2</v>
      </c>
      <c r="C6" s="34" t="s">
        <v>7</v>
      </c>
    </row>
    <row r="7" spans="1:3" x14ac:dyDescent="0.25">
      <c r="A7" s="8" t="s">
        <v>3</v>
      </c>
      <c r="B7" s="4">
        <v>1</v>
      </c>
      <c r="C7" s="33" t="s">
        <v>9</v>
      </c>
    </row>
    <row r="8" spans="1:3" x14ac:dyDescent="0.25">
      <c r="A8" s="27"/>
      <c r="B8" s="28"/>
      <c r="C8" s="34" t="s">
        <v>7</v>
      </c>
    </row>
    <row r="9" spans="1:3" ht="15.75" thickBot="1" x14ac:dyDescent="0.3">
      <c r="A9" s="8" t="s">
        <v>4</v>
      </c>
      <c r="B9" s="4">
        <v>10</v>
      </c>
      <c r="C9" s="52" t="s">
        <v>8</v>
      </c>
    </row>
    <row r="10" spans="1:3" x14ac:dyDescent="0.25">
      <c r="A10" s="14" t="s">
        <v>5</v>
      </c>
      <c r="B10" s="53">
        <f>IF((B7*12+B8)&gt;12,2*B2*(B3+B4/12+B5+B6/12)*ROUNDUP((B7+B8/12)/2,0)*2,2*B2*(B3+B4/12+B5+B6/12))</f>
        <v>126.66666666666666</v>
      </c>
      <c r="C10" s="38" t="str">
        <f>IF((B7*12+B8)&gt;12,"sft","ft")</f>
        <v>ft</v>
      </c>
    </row>
    <row r="11" spans="1:3" ht="15.75" thickBot="1" x14ac:dyDescent="0.3">
      <c r="A11" s="11" t="s">
        <v>6</v>
      </c>
      <c r="B11" s="44">
        <f>B2*(B3+B4/12)*(B5+B6/12)*(B7+B8/12)/27*(1+B9/100)</f>
        <v>4.0853909465020575</v>
      </c>
      <c r="C11" s="37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D3" sqref="D3"/>
    </sheetView>
  </sheetViews>
  <sheetFormatPr defaultRowHeight="15" x14ac:dyDescent="0.25"/>
  <cols>
    <col min="1" max="1" width="18.5703125" customWidth="1"/>
    <col min="3" max="3" width="9.140625" style="1"/>
  </cols>
  <sheetData>
    <row r="1" spans="1:3" ht="19.5" thickBot="1" x14ac:dyDescent="0.35">
      <c r="A1" s="2" t="s">
        <v>26</v>
      </c>
    </row>
    <row r="2" spans="1:3" x14ac:dyDescent="0.25">
      <c r="A2" s="25" t="s">
        <v>11</v>
      </c>
      <c r="B2" s="26">
        <v>10</v>
      </c>
      <c r="C2" s="32" t="s">
        <v>17</v>
      </c>
    </row>
    <row r="3" spans="1:3" x14ac:dyDescent="0.25">
      <c r="A3" s="8" t="s">
        <v>12</v>
      </c>
      <c r="B3" s="4"/>
      <c r="C3" s="33" t="s">
        <v>9</v>
      </c>
    </row>
    <row r="4" spans="1:3" x14ac:dyDescent="0.25">
      <c r="A4" s="27"/>
      <c r="B4" s="28">
        <v>16</v>
      </c>
      <c r="C4" s="34" t="s">
        <v>7</v>
      </c>
    </row>
    <row r="5" spans="1:3" x14ac:dyDescent="0.25">
      <c r="A5" s="8" t="s">
        <v>13</v>
      </c>
      <c r="B5" s="4"/>
      <c r="C5" s="33" t="s">
        <v>9</v>
      </c>
    </row>
    <row r="6" spans="1:3" x14ac:dyDescent="0.25">
      <c r="A6" s="27"/>
      <c r="B6" s="28">
        <v>16</v>
      </c>
      <c r="C6" s="34" t="s">
        <v>7</v>
      </c>
    </row>
    <row r="7" spans="1:3" x14ac:dyDescent="0.25">
      <c r="A7" s="45" t="s">
        <v>14</v>
      </c>
      <c r="B7" s="46">
        <v>8</v>
      </c>
      <c r="C7" s="47" t="s">
        <v>9</v>
      </c>
    </row>
    <row r="8" spans="1:3" ht="15.75" thickBot="1" x14ac:dyDescent="0.3">
      <c r="A8" s="21" t="s">
        <v>15</v>
      </c>
      <c r="B8" s="20">
        <v>5</v>
      </c>
      <c r="C8" s="42" t="s">
        <v>8</v>
      </c>
    </row>
    <row r="9" spans="1:3" x14ac:dyDescent="0.25">
      <c r="A9" s="6" t="s">
        <v>5</v>
      </c>
      <c r="B9" s="48">
        <f>B2*2*(B3+B4/12+B5+B6/12)*B7</f>
        <v>426.66666666666663</v>
      </c>
      <c r="C9" s="43" t="s">
        <v>18</v>
      </c>
    </row>
    <row r="10" spans="1:3" ht="15.75" thickBot="1" x14ac:dyDescent="0.3">
      <c r="A10" s="49" t="s">
        <v>16</v>
      </c>
      <c r="B10" s="50">
        <f>B2*(B3+B4/12)*(B5+B6/12)*(B7)/27*(1+B8/100)</f>
        <v>5.5308641975308639</v>
      </c>
      <c r="C10" s="51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7" sqref="B7"/>
    </sheetView>
  </sheetViews>
  <sheetFormatPr defaultRowHeight="15" x14ac:dyDescent="0.25"/>
  <cols>
    <col min="1" max="1" width="18.140625" customWidth="1"/>
    <col min="3" max="3" width="9.140625" style="1"/>
  </cols>
  <sheetData>
    <row r="1" spans="1:3" ht="19.5" thickBot="1" x14ac:dyDescent="0.35">
      <c r="A1" s="2" t="s">
        <v>25</v>
      </c>
    </row>
    <row r="2" spans="1:3" x14ac:dyDescent="0.25">
      <c r="A2" s="25" t="s">
        <v>19</v>
      </c>
      <c r="B2" s="26">
        <v>10</v>
      </c>
      <c r="C2" s="32" t="s">
        <v>17</v>
      </c>
    </row>
    <row r="3" spans="1:3" x14ac:dyDescent="0.25">
      <c r="A3" s="8" t="s">
        <v>20</v>
      </c>
      <c r="B3" s="4"/>
      <c r="C3" s="33" t="s">
        <v>9</v>
      </c>
    </row>
    <row r="4" spans="1:3" x14ac:dyDescent="0.25">
      <c r="A4" s="27"/>
      <c r="B4" s="28">
        <v>16</v>
      </c>
      <c r="C4" s="34" t="s">
        <v>7</v>
      </c>
    </row>
    <row r="5" spans="1:3" x14ac:dyDescent="0.25">
      <c r="A5" s="10" t="s">
        <v>21</v>
      </c>
      <c r="B5" s="3">
        <v>8</v>
      </c>
      <c r="C5" s="35" t="s">
        <v>9</v>
      </c>
    </row>
    <row r="6" spans="1:3" x14ac:dyDescent="0.25">
      <c r="A6" s="31" t="s">
        <v>4</v>
      </c>
      <c r="B6" s="30">
        <v>5</v>
      </c>
      <c r="C6" s="36" t="s">
        <v>8</v>
      </c>
    </row>
    <row r="7" spans="1:3" ht="15.75" thickBot="1" x14ac:dyDescent="0.3">
      <c r="A7" s="11" t="s">
        <v>16</v>
      </c>
      <c r="B7" s="44">
        <f>B2*(PI()*((B3+B4/12)/2)^2)*B5/27*(1+B6/100)</f>
        <v>4.3439305827414429</v>
      </c>
      <c r="C7" s="37" t="s">
        <v>10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7" sqref="C7"/>
    </sheetView>
  </sheetViews>
  <sheetFormatPr defaultRowHeight="15" x14ac:dyDescent="0.25"/>
  <cols>
    <col min="1" max="1" width="15.5703125" customWidth="1"/>
    <col min="3" max="3" width="9.140625" style="1"/>
  </cols>
  <sheetData>
    <row r="1" spans="1:3" ht="19.5" thickBot="1" x14ac:dyDescent="0.35">
      <c r="A1" s="2" t="s">
        <v>24</v>
      </c>
    </row>
    <row r="2" spans="1:3" x14ac:dyDescent="0.25">
      <c r="A2" s="14" t="s">
        <v>22</v>
      </c>
      <c r="B2" s="15">
        <v>108</v>
      </c>
      <c r="C2" s="38" t="s">
        <v>9</v>
      </c>
    </row>
    <row r="3" spans="1:3" x14ac:dyDescent="0.25">
      <c r="A3" s="22"/>
      <c r="B3" s="5">
        <v>6</v>
      </c>
      <c r="C3" s="39" t="s">
        <v>7</v>
      </c>
    </row>
    <row r="4" spans="1:3" x14ac:dyDescent="0.25">
      <c r="A4" s="16" t="s">
        <v>23</v>
      </c>
      <c r="B4" s="17">
        <v>2</v>
      </c>
      <c r="C4" s="40" t="s">
        <v>9</v>
      </c>
    </row>
    <row r="5" spans="1:3" x14ac:dyDescent="0.25">
      <c r="A5" s="22"/>
      <c r="B5" s="5">
        <v>6</v>
      </c>
      <c r="C5" s="39" t="s">
        <v>7</v>
      </c>
    </row>
    <row r="6" spans="1:3" x14ac:dyDescent="0.25">
      <c r="A6" s="16" t="s">
        <v>3</v>
      </c>
      <c r="B6" s="17">
        <v>1</v>
      </c>
      <c r="C6" s="40" t="s">
        <v>9</v>
      </c>
    </row>
    <row r="7" spans="1:3" x14ac:dyDescent="0.25">
      <c r="A7" s="22"/>
      <c r="B7" s="5"/>
      <c r="C7" s="39" t="s">
        <v>7</v>
      </c>
    </row>
    <row r="8" spans="1:3" ht="15.75" thickBot="1" x14ac:dyDescent="0.3">
      <c r="A8" s="16" t="s">
        <v>4</v>
      </c>
      <c r="B8" s="17">
        <v>8</v>
      </c>
      <c r="C8" s="40" t="s">
        <v>8</v>
      </c>
    </row>
    <row r="9" spans="1:3" ht="15.75" thickBot="1" x14ac:dyDescent="0.3">
      <c r="A9" s="23" t="s">
        <v>16</v>
      </c>
      <c r="B9" s="24">
        <f>(B2+B3/12)*(B4+B5/12)*(B6+B7/12)/27*(1+B8/100)</f>
        <v>10.85</v>
      </c>
      <c r="C9" s="41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9" sqref="B9"/>
    </sheetView>
  </sheetViews>
  <sheetFormatPr defaultRowHeight="15" x14ac:dyDescent="0.25"/>
  <cols>
    <col min="1" max="1" width="15.7109375" customWidth="1"/>
    <col min="3" max="3" width="9.140625" style="1"/>
  </cols>
  <sheetData>
    <row r="1" spans="1:3" ht="19.5" thickBot="1" x14ac:dyDescent="0.35">
      <c r="A1" s="2" t="s">
        <v>28</v>
      </c>
    </row>
    <row r="2" spans="1:3" x14ac:dyDescent="0.25">
      <c r="A2" s="14" t="s">
        <v>22</v>
      </c>
      <c r="B2" s="15">
        <v>110</v>
      </c>
      <c r="C2" s="38" t="s">
        <v>9</v>
      </c>
    </row>
    <row r="3" spans="1:3" x14ac:dyDescent="0.25">
      <c r="A3" s="22"/>
      <c r="B3" s="5">
        <v>4</v>
      </c>
      <c r="C3" s="39" t="s">
        <v>7</v>
      </c>
    </row>
    <row r="4" spans="1:3" x14ac:dyDescent="0.25">
      <c r="A4" s="16" t="s">
        <v>23</v>
      </c>
      <c r="B4" s="17"/>
      <c r="C4" s="40" t="s">
        <v>9</v>
      </c>
    </row>
    <row r="5" spans="1:3" x14ac:dyDescent="0.25">
      <c r="A5" s="22"/>
      <c r="B5" s="5">
        <v>8</v>
      </c>
      <c r="C5" s="39" t="s">
        <v>7</v>
      </c>
    </row>
    <row r="6" spans="1:3" x14ac:dyDescent="0.25">
      <c r="A6" s="16" t="s">
        <v>21</v>
      </c>
      <c r="B6" s="17">
        <v>8</v>
      </c>
      <c r="C6" s="40" t="s">
        <v>9</v>
      </c>
    </row>
    <row r="7" spans="1:3" x14ac:dyDescent="0.25">
      <c r="A7" s="8"/>
      <c r="B7" s="4"/>
      <c r="C7" s="33" t="s">
        <v>7</v>
      </c>
    </row>
    <row r="8" spans="1:3" ht="15.75" thickBot="1" x14ac:dyDescent="0.3">
      <c r="A8" s="21" t="s">
        <v>4</v>
      </c>
      <c r="B8" s="20">
        <v>5</v>
      </c>
      <c r="C8" s="42" t="s">
        <v>8</v>
      </c>
    </row>
    <row r="9" spans="1:3" ht="15.75" thickBot="1" x14ac:dyDescent="0.3">
      <c r="A9" s="23" t="s">
        <v>16</v>
      </c>
      <c r="B9" s="54">
        <f>(B2+B3/12)*(B4+B5/12)*(B6+B7/12)/27*(1+B8/100)</f>
        <v>22.883950617283947</v>
      </c>
      <c r="C9" s="41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E21" sqref="E21"/>
    </sheetView>
  </sheetViews>
  <sheetFormatPr defaultRowHeight="15" x14ac:dyDescent="0.25"/>
  <cols>
    <col min="1" max="1" width="15.5703125" customWidth="1"/>
    <col min="3" max="3" width="9.140625" style="1"/>
  </cols>
  <sheetData>
    <row r="1" spans="1:3" ht="19.5" thickBot="1" x14ac:dyDescent="0.35">
      <c r="A1" s="2" t="s">
        <v>41</v>
      </c>
    </row>
    <row r="2" spans="1:3" x14ac:dyDescent="0.25">
      <c r="A2" s="14" t="s">
        <v>29</v>
      </c>
      <c r="B2" s="15">
        <v>100</v>
      </c>
      <c r="C2" s="38" t="s">
        <v>9</v>
      </c>
    </row>
    <row r="3" spans="1:3" x14ac:dyDescent="0.25">
      <c r="A3" s="8" t="s">
        <v>30</v>
      </c>
      <c r="B3" s="4">
        <v>40</v>
      </c>
      <c r="C3" s="33" t="s">
        <v>9</v>
      </c>
    </row>
    <row r="4" spans="1:3" x14ac:dyDescent="0.25">
      <c r="A4" s="16" t="s">
        <v>31</v>
      </c>
      <c r="B4" s="17">
        <v>4</v>
      </c>
      <c r="C4" s="40" t="s">
        <v>7</v>
      </c>
    </row>
    <row r="5" spans="1:3" x14ac:dyDescent="0.25">
      <c r="A5" s="8" t="s">
        <v>32</v>
      </c>
      <c r="B5" s="4">
        <v>12</v>
      </c>
      <c r="C5" s="33" t="s">
        <v>8</v>
      </c>
    </row>
    <row r="6" spans="1:3" x14ac:dyDescent="0.25">
      <c r="A6" s="16" t="s">
        <v>33</v>
      </c>
      <c r="B6" s="17">
        <v>18</v>
      </c>
      <c r="C6" s="40" t="s">
        <v>7</v>
      </c>
    </row>
    <row r="7" spans="1:3" x14ac:dyDescent="0.25">
      <c r="A7" s="8" t="s">
        <v>34</v>
      </c>
      <c r="B7" s="4">
        <v>4</v>
      </c>
      <c r="C7" s="33" t="s">
        <v>39</v>
      </c>
    </row>
    <row r="8" spans="1:3" x14ac:dyDescent="0.25">
      <c r="A8" s="16" t="s">
        <v>35</v>
      </c>
      <c r="B8" s="17">
        <v>20</v>
      </c>
      <c r="C8" s="40" t="s">
        <v>9</v>
      </c>
    </row>
    <row r="9" spans="1:3" x14ac:dyDescent="0.25">
      <c r="A9" s="8" t="s">
        <v>36</v>
      </c>
      <c r="B9" s="4">
        <v>36</v>
      </c>
      <c r="C9" s="33" t="s">
        <v>40</v>
      </c>
    </row>
    <row r="10" spans="1:3" x14ac:dyDescent="0.25">
      <c r="A10" s="16"/>
      <c r="B10" s="17"/>
      <c r="C10" s="40"/>
    </row>
    <row r="11" spans="1:3" x14ac:dyDescent="0.25">
      <c r="A11" s="10" t="s">
        <v>37</v>
      </c>
      <c r="B11" s="3">
        <f>B2*B3</f>
        <v>4000</v>
      </c>
      <c r="C11" s="35" t="s">
        <v>18</v>
      </c>
    </row>
    <row r="12" spans="1:3" x14ac:dyDescent="0.25">
      <c r="A12" s="16" t="s">
        <v>16</v>
      </c>
      <c r="B12" s="19">
        <f>(B2*B3*(B4/12)/27)*(1+B5/100)</f>
        <v>55.308641975308646</v>
      </c>
      <c r="C12" s="40" t="s">
        <v>10</v>
      </c>
    </row>
    <row r="13" spans="1:3" ht="15.75" thickBot="1" x14ac:dyDescent="0.3">
      <c r="A13" s="11" t="s">
        <v>38</v>
      </c>
      <c r="B13" s="12">
        <f>ROUNDUP((ROUNDUP(B2*12/B6+1,0)*B3+ROUNDUP(B3*12/B6+1,0)*B2)/(B8-B9*(B7/8)/12),0)</f>
        <v>299</v>
      </c>
      <c r="C13" s="37" t="s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H15" sqref="H15"/>
    </sheetView>
  </sheetViews>
  <sheetFormatPr defaultRowHeight="15" x14ac:dyDescent="0.25"/>
  <cols>
    <col min="1" max="1" width="18.140625" customWidth="1"/>
  </cols>
  <sheetData>
    <row r="1" spans="1:3" ht="19.5" thickBot="1" x14ac:dyDescent="0.35">
      <c r="A1" s="2" t="s">
        <v>46</v>
      </c>
    </row>
    <row r="2" spans="1:3" x14ac:dyDescent="0.25">
      <c r="A2" s="14" t="s">
        <v>29</v>
      </c>
      <c r="B2" s="15">
        <v>100</v>
      </c>
      <c r="C2" s="38" t="s">
        <v>9</v>
      </c>
    </row>
    <row r="3" spans="1:3" x14ac:dyDescent="0.25">
      <c r="A3" s="8" t="s">
        <v>30</v>
      </c>
      <c r="B3" s="4">
        <v>40</v>
      </c>
      <c r="C3" s="33" t="s">
        <v>9</v>
      </c>
    </row>
    <row r="4" spans="1:3" x14ac:dyDescent="0.25">
      <c r="A4" s="16" t="s">
        <v>31</v>
      </c>
      <c r="B4" s="17">
        <v>4</v>
      </c>
      <c r="C4" s="40" t="s">
        <v>7</v>
      </c>
    </row>
    <row r="5" spans="1:3" x14ac:dyDescent="0.25">
      <c r="A5" s="8" t="s">
        <v>32</v>
      </c>
      <c r="B5" s="4">
        <v>12</v>
      </c>
      <c r="C5" s="33" t="s">
        <v>8</v>
      </c>
    </row>
    <row r="6" spans="1:3" x14ac:dyDescent="0.25">
      <c r="A6" s="16" t="s">
        <v>43</v>
      </c>
      <c r="B6" s="17">
        <v>150</v>
      </c>
      <c r="C6" s="40" t="s">
        <v>9</v>
      </c>
    </row>
    <row r="7" spans="1:3" x14ac:dyDescent="0.25">
      <c r="A7" s="8" t="s">
        <v>44</v>
      </c>
      <c r="B7" s="4">
        <v>5</v>
      </c>
      <c r="C7" s="33" t="s">
        <v>9</v>
      </c>
    </row>
    <row r="8" spans="1:3" ht="15.75" thickBot="1" x14ac:dyDescent="0.3">
      <c r="A8" s="16" t="s">
        <v>45</v>
      </c>
      <c r="B8" s="17">
        <v>6</v>
      </c>
      <c r="C8" s="40" t="s">
        <v>9</v>
      </c>
    </row>
    <row r="9" spans="1:3" x14ac:dyDescent="0.25">
      <c r="A9" s="6" t="s">
        <v>37</v>
      </c>
      <c r="B9" s="7">
        <f>B2*B3</f>
        <v>4000</v>
      </c>
      <c r="C9" s="43" t="s">
        <v>18</v>
      </c>
    </row>
    <row r="10" spans="1:3" x14ac:dyDescent="0.25">
      <c r="A10" s="16" t="s">
        <v>16</v>
      </c>
      <c r="B10" s="19">
        <f>(B2*B3*(B4/12)/27)*(1+B5/100)</f>
        <v>55.308641975308646</v>
      </c>
      <c r="C10" s="40" t="s">
        <v>10</v>
      </c>
    </row>
    <row r="11" spans="1:3" ht="15.75" thickBot="1" x14ac:dyDescent="0.3">
      <c r="A11" s="11" t="s">
        <v>42</v>
      </c>
      <c r="B11" s="12">
        <f>ROUNDUP(ROUNDUP(2*B3/(B7-B8/12),0)/2*B2/(B6-B8/12),0)</f>
        <v>7</v>
      </c>
      <c r="C11" s="37" t="s">
        <v>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9" sqref="E9"/>
    </sheetView>
  </sheetViews>
  <sheetFormatPr defaultRowHeight="15" x14ac:dyDescent="0.25"/>
  <cols>
    <col min="1" max="1" width="14.5703125" customWidth="1"/>
    <col min="3" max="3" width="9.140625" style="1"/>
  </cols>
  <sheetData>
    <row r="1" spans="1:3" ht="19.5" thickBot="1" x14ac:dyDescent="0.35">
      <c r="A1" s="2" t="s">
        <v>53</v>
      </c>
    </row>
    <row r="2" spans="1:3" x14ac:dyDescent="0.25">
      <c r="A2" s="58" t="s">
        <v>29</v>
      </c>
      <c r="B2" s="59">
        <v>100</v>
      </c>
      <c r="C2" s="32" t="s">
        <v>9</v>
      </c>
    </row>
    <row r="3" spans="1:3" x14ac:dyDescent="0.25">
      <c r="A3" s="60" t="s">
        <v>30</v>
      </c>
      <c r="B3" s="29">
        <v>50</v>
      </c>
      <c r="C3" s="47" t="s">
        <v>9</v>
      </c>
    </row>
    <row r="4" spans="1:3" x14ac:dyDescent="0.25">
      <c r="A4" s="61" t="s">
        <v>47</v>
      </c>
      <c r="B4" s="57">
        <v>3</v>
      </c>
      <c r="C4" s="36" t="s">
        <v>7</v>
      </c>
    </row>
    <row r="5" spans="1:3" x14ac:dyDescent="0.25">
      <c r="A5" s="60" t="s">
        <v>48</v>
      </c>
      <c r="B5" s="29">
        <v>1.5</v>
      </c>
      <c r="C5" s="47" t="s">
        <v>7</v>
      </c>
    </row>
    <row r="6" spans="1:3" x14ac:dyDescent="0.25">
      <c r="A6" s="61" t="s">
        <v>49</v>
      </c>
      <c r="B6" s="57">
        <v>2.5</v>
      </c>
      <c r="C6" s="36" t="s">
        <v>7</v>
      </c>
    </row>
    <row r="7" spans="1:3" x14ac:dyDescent="0.25">
      <c r="A7" s="60" t="s">
        <v>50</v>
      </c>
      <c r="B7" s="29">
        <v>4.5</v>
      </c>
      <c r="C7" s="47" t="s">
        <v>7</v>
      </c>
    </row>
    <row r="8" spans="1:3" x14ac:dyDescent="0.25">
      <c r="A8" s="61" t="s">
        <v>51</v>
      </c>
      <c r="B8" s="57">
        <v>6</v>
      </c>
      <c r="C8" s="36" t="s">
        <v>8</v>
      </c>
    </row>
    <row r="9" spans="1:3" ht="15.75" thickBot="1" x14ac:dyDescent="0.3">
      <c r="A9" s="62" t="s">
        <v>52</v>
      </c>
      <c r="B9" s="63">
        <v>10</v>
      </c>
      <c r="C9" s="35" t="s">
        <v>10</v>
      </c>
    </row>
    <row r="10" spans="1:3" ht="15.75" thickBot="1" x14ac:dyDescent="0.3">
      <c r="A10" s="64" t="s">
        <v>6</v>
      </c>
      <c r="B10" s="55">
        <f>B2*B3*((B4+(B6+B7)*B5/(2*B8))/12)/27*(1+B9/100)</f>
        <v>65.77932098765433</v>
      </c>
      <c r="C10" s="56" t="s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K13" sqref="K13"/>
    </sheetView>
  </sheetViews>
  <sheetFormatPr defaultRowHeight="15" x14ac:dyDescent="0.25"/>
  <cols>
    <col min="1" max="1" width="18.140625" customWidth="1"/>
    <col min="7" max="7" width="11.85546875" customWidth="1"/>
  </cols>
  <sheetData>
    <row r="1" spans="1:7" ht="19.5" thickBot="1" x14ac:dyDescent="0.35">
      <c r="A1" s="2" t="s">
        <v>71</v>
      </c>
    </row>
    <row r="2" spans="1:7" x14ac:dyDescent="0.25">
      <c r="A2" s="6"/>
      <c r="B2" s="69"/>
      <c r="C2" s="71" t="s">
        <v>63</v>
      </c>
      <c r="D2" s="7"/>
      <c r="E2" s="69"/>
      <c r="F2" s="7" t="s">
        <v>68</v>
      </c>
      <c r="G2" s="65"/>
    </row>
    <row r="3" spans="1:7" x14ac:dyDescent="0.25">
      <c r="A3" s="22" t="s">
        <v>55</v>
      </c>
      <c r="B3" s="68" t="s">
        <v>54</v>
      </c>
      <c r="C3" s="29" t="s">
        <v>62</v>
      </c>
      <c r="D3" s="29" t="s">
        <v>64</v>
      </c>
      <c r="E3" s="70" t="s">
        <v>65</v>
      </c>
      <c r="F3" s="70" t="s">
        <v>66</v>
      </c>
      <c r="G3" s="67" t="s">
        <v>67</v>
      </c>
    </row>
    <row r="4" spans="1:7" x14ac:dyDescent="0.25">
      <c r="A4" s="72" t="s">
        <v>56</v>
      </c>
      <c r="B4" s="73">
        <v>1</v>
      </c>
      <c r="C4" s="73">
        <v>10</v>
      </c>
      <c r="D4" s="73"/>
      <c r="E4" s="73">
        <v>30</v>
      </c>
      <c r="F4" s="73">
        <f>(C4+D4/12)*E4</f>
        <v>300</v>
      </c>
      <c r="G4" s="74">
        <f>F4*B4</f>
        <v>300</v>
      </c>
    </row>
    <row r="5" spans="1:7" x14ac:dyDescent="0.25">
      <c r="A5" s="60" t="s">
        <v>57</v>
      </c>
      <c r="B5" s="29">
        <v>4</v>
      </c>
      <c r="C5" s="29">
        <v>28</v>
      </c>
      <c r="D5" s="29">
        <v>6</v>
      </c>
      <c r="E5" s="29">
        <v>45</v>
      </c>
      <c r="F5" s="78">
        <f t="shared" ref="F5:F10" si="0">(C5+D5/12)*E5</f>
        <v>1282.5</v>
      </c>
      <c r="G5" s="79">
        <f t="shared" ref="G5:G10" si="1">F5*B5</f>
        <v>5130</v>
      </c>
    </row>
    <row r="6" spans="1:7" x14ac:dyDescent="0.25">
      <c r="A6" s="61" t="s">
        <v>57</v>
      </c>
      <c r="B6" s="57">
        <v>6</v>
      </c>
      <c r="C6" s="57">
        <v>29</v>
      </c>
      <c r="D6" s="57">
        <v>7</v>
      </c>
      <c r="E6" s="57">
        <v>45</v>
      </c>
      <c r="F6" s="73">
        <f t="shared" si="0"/>
        <v>1331.25</v>
      </c>
      <c r="G6" s="74">
        <f t="shared" si="1"/>
        <v>7987.5</v>
      </c>
    </row>
    <row r="7" spans="1:7" x14ac:dyDescent="0.25">
      <c r="A7" s="60" t="s">
        <v>58</v>
      </c>
      <c r="B7" s="29">
        <v>2</v>
      </c>
      <c r="C7" s="29">
        <v>39</v>
      </c>
      <c r="D7" s="29">
        <v>4</v>
      </c>
      <c r="E7" s="29">
        <v>86</v>
      </c>
      <c r="F7" s="78">
        <f t="shared" si="0"/>
        <v>3382.666666666667</v>
      </c>
      <c r="G7" s="79">
        <f t="shared" si="1"/>
        <v>6765.3333333333339</v>
      </c>
    </row>
    <row r="8" spans="1:7" x14ac:dyDescent="0.25">
      <c r="A8" s="61" t="s">
        <v>59</v>
      </c>
      <c r="B8" s="57">
        <v>1</v>
      </c>
      <c r="C8" s="57">
        <v>39</v>
      </c>
      <c r="D8" s="57">
        <v>2</v>
      </c>
      <c r="E8" s="57">
        <v>175</v>
      </c>
      <c r="F8" s="73">
        <f t="shared" si="0"/>
        <v>6854.1666666666661</v>
      </c>
      <c r="G8" s="74">
        <f t="shared" si="1"/>
        <v>6854.1666666666661</v>
      </c>
    </row>
    <row r="9" spans="1:7" x14ac:dyDescent="0.25">
      <c r="A9" s="60" t="s">
        <v>60</v>
      </c>
      <c r="B9" s="29">
        <v>4</v>
      </c>
      <c r="C9" s="29">
        <v>15</v>
      </c>
      <c r="D9" s="29"/>
      <c r="E9" s="29">
        <v>40</v>
      </c>
      <c r="F9" s="78">
        <f t="shared" si="0"/>
        <v>600</v>
      </c>
      <c r="G9" s="79">
        <f t="shared" si="1"/>
        <v>2400</v>
      </c>
    </row>
    <row r="10" spans="1:7" ht="15.75" thickBot="1" x14ac:dyDescent="0.3">
      <c r="A10" s="75" t="s">
        <v>61</v>
      </c>
      <c r="B10" s="76">
        <v>2</v>
      </c>
      <c r="C10" s="76">
        <v>15</v>
      </c>
      <c r="D10" s="76"/>
      <c r="E10" s="76">
        <v>53</v>
      </c>
      <c r="F10" s="73">
        <f t="shared" si="0"/>
        <v>795</v>
      </c>
      <c r="G10" s="74">
        <f t="shared" si="1"/>
        <v>1590</v>
      </c>
    </row>
    <row r="11" spans="1:7" x14ac:dyDescent="0.25">
      <c r="A11" s="6"/>
      <c r="B11" s="7"/>
      <c r="C11" s="7"/>
      <c r="D11" s="7"/>
      <c r="E11" s="7"/>
      <c r="F11" s="66" t="s">
        <v>69</v>
      </c>
      <c r="G11" s="77">
        <f>SUM(G4:G10)</f>
        <v>31027</v>
      </c>
    </row>
    <row r="12" spans="1:7" ht="15.75" thickBot="1" x14ac:dyDescent="0.3">
      <c r="A12" s="80"/>
      <c r="B12" s="81"/>
      <c r="C12" s="81"/>
      <c r="D12" s="81"/>
      <c r="E12" s="81"/>
      <c r="F12" s="82" t="s">
        <v>70</v>
      </c>
      <c r="G12" s="83">
        <f>G11/2000</f>
        <v>15.513500000000001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F15" sqref="F15"/>
    </sheetView>
  </sheetViews>
  <sheetFormatPr defaultRowHeight="15" x14ac:dyDescent="0.25"/>
  <cols>
    <col min="1" max="1" width="20.42578125" customWidth="1"/>
    <col min="3" max="3" width="9.140625" style="1"/>
  </cols>
  <sheetData>
    <row r="1" spans="1:3" ht="19.5" thickBot="1" x14ac:dyDescent="0.35">
      <c r="A1" s="2" t="s">
        <v>81</v>
      </c>
    </row>
    <row r="2" spans="1:3" x14ac:dyDescent="0.25">
      <c r="A2" s="58" t="s">
        <v>72</v>
      </c>
      <c r="B2" s="59">
        <v>40</v>
      </c>
      <c r="C2" s="32" t="s">
        <v>9</v>
      </c>
    </row>
    <row r="3" spans="1:3" x14ac:dyDescent="0.25">
      <c r="A3" s="60" t="s">
        <v>73</v>
      </c>
      <c r="B3" s="29">
        <v>80</v>
      </c>
      <c r="C3" s="47" t="s">
        <v>9</v>
      </c>
    </row>
    <row r="4" spans="1:3" x14ac:dyDescent="0.25">
      <c r="A4" s="61" t="s">
        <v>74</v>
      </c>
      <c r="B4" s="57">
        <v>40</v>
      </c>
      <c r="C4" s="36" t="s">
        <v>9</v>
      </c>
    </row>
    <row r="5" spans="1:3" x14ac:dyDescent="0.25">
      <c r="A5" s="60" t="s">
        <v>75</v>
      </c>
      <c r="B5" s="29">
        <v>4</v>
      </c>
      <c r="C5" s="47" t="s">
        <v>9</v>
      </c>
    </row>
    <row r="6" spans="1:3" x14ac:dyDescent="0.25">
      <c r="A6" s="61" t="s">
        <v>76</v>
      </c>
      <c r="B6" s="57"/>
      <c r="C6" s="36" t="s">
        <v>7</v>
      </c>
    </row>
    <row r="7" spans="1:3" ht="15.75" thickBot="1" x14ac:dyDescent="0.3">
      <c r="A7" s="90" t="s">
        <v>77</v>
      </c>
      <c r="B7" s="91">
        <v>6</v>
      </c>
      <c r="C7" s="92" t="s">
        <v>7</v>
      </c>
    </row>
    <row r="8" spans="1:3" x14ac:dyDescent="0.25">
      <c r="A8" s="88"/>
      <c r="B8" s="89"/>
      <c r="C8" s="18"/>
    </row>
    <row r="9" spans="1:3" x14ac:dyDescent="0.25">
      <c r="A9" s="84" t="s">
        <v>78</v>
      </c>
      <c r="B9" s="87">
        <f>B2/(B4-B6/12)</f>
        <v>1</v>
      </c>
      <c r="C9" s="9" t="s">
        <v>17</v>
      </c>
    </row>
    <row r="10" spans="1:3" x14ac:dyDescent="0.25">
      <c r="A10" s="88" t="s">
        <v>79</v>
      </c>
      <c r="B10" s="89">
        <f>ROUNDUP(B3/(B5-B7/12),0)</f>
        <v>23</v>
      </c>
      <c r="C10" s="18" t="s">
        <v>17</v>
      </c>
    </row>
    <row r="11" spans="1:3" ht="15.75" thickBot="1" x14ac:dyDescent="0.3">
      <c r="A11" s="85" t="s">
        <v>80</v>
      </c>
      <c r="B11" s="86">
        <f>ROUNDUP(B9*B10,0)</f>
        <v>23</v>
      </c>
      <c r="C11" s="13" t="s">
        <v>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G26" sqref="G26"/>
    </sheetView>
  </sheetViews>
  <sheetFormatPr defaultRowHeight="15" x14ac:dyDescent="0.25"/>
  <cols>
    <col min="1" max="1" width="53" customWidth="1"/>
    <col min="2" max="2" width="14.140625" style="93" customWidth="1"/>
    <col min="3" max="3" width="14.140625" style="1" customWidth="1"/>
  </cols>
  <sheetData>
    <row r="1" spans="1:3" x14ac:dyDescent="0.25">
      <c r="A1" t="s">
        <v>106</v>
      </c>
    </row>
    <row r="2" spans="1:3" x14ac:dyDescent="0.25">
      <c r="A2" t="s">
        <v>82</v>
      </c>
      <c r="B2" s="93">
        <v>100</v>
      </c>
      <c r="C2" s="1" t="s">
        <v>9</v>
      </c>
    </row>
    <row r="3" spans="1:3" x14ac:dyDescent="0.25">
      <c r="C3" s="1" t="s">
        <v>7</v>
      </c>
    </row>
    <row r="4" spans="1:3" x14ac:dyDescent="0.25">
      <c r="A4" t="s">
        <v>105</v>
      </c>
      <c r="B4" s="93">
        <v>10</v>
      </c>
      <c r="C4" s="1" t="s">
        <v>9</v>
      </c>
    </row>
    <row r="5" spans="1:3" x14ac:dyDescent="0.25">
      <c r="C5" s="1" t="s">
        <v>7</v>
      </c>
    </row>
    <row r="6" spans="1:3" x14ac:dyDescent="0.25">
      <c r="A6" t="s">
        <v>104</v>
      </c>
      <c r="B6" s="93">
        <v>15.625</v>
      </c>
      <c r="C6" s="1" t="s">
        <v>7</v>
      </c>
    </row>
    <row r="7" spans="1:3" x14ac:dyDescent="0.25">
      <c r="A7" t="s">
        <v>103</v>
      </c>
      <c r="B7" s="93">
        <v>7.625</v>
      </c>
      <c r="C7" s="1" t="s">
        <v>7</v>
      </c>
    </row>
    <row r="8" spans="1:3" x14ac:dyDescent="0.25">
      <c r="A8" t="s">
        <v>102</v>
      </c>
      <c r="B8" s="93">
        <v>0.375</v>
      </c>
      <c r="C8" s="1" t="s">
        <v>7</v>
      </c>
    </row>
    <row r="9" spans="1:3" x14ac:dyDescent="0.25">
      <c r="A9" t="s">
        <v>101</v>
      </c>
      <c r="B9" s="93">
        <v>48</v>
      </c>
      <c r="C9" s="1" t="s">
        <v>7</v>
      </c>
    </row>
    <row r="10" spans="1:3" x14ac:dyDescent="0.25">
      <c r="A10" t="s">
        <v>100</v>
      </c>
      <c r="B10" s="93">
        <v>2</v>
      </c>
      <c r="C10" s="1" t="s">
        <v>17</v>
      </c>
    </row>
    <row r="11" spans="1:3" x14ac:dyDescent="0.25">
      <c r="A11" t="s">
        <v>99</v>
      </c>
      <c r="B11" s="93">
        <v>15</v>
      </c>
      <c r="C11" s="1" t="s">
        <v>7</v>
      </c>
    </row>
    <row r="12" spans="1:3" x14ac:dyDescent="0.25">
      <c r="A12" t="s">
        <v>98</v>
      </c>
      <c r="B12" s="93">
        <v>20</v>
      </c>
      <c r="C12" s="1" t="s">
        <v>9</v>
      </c>
    </row>
    <row r="13" spans="1:3" x14ac:dyDescent="0.25">
      <c r="A13" t="s">
        <v>97</v>
      </c>
      <c r="B13" s="93">
        <v>32</v>
      </c>
      <c r="C13" s="1" t="s">
        <v>7</v>
      </c>
    </row>
    <row r="14" spans="1:3" x14ac:dyDescent="0.25">
      <c r="A14" t="s">
        <v>96</v>
      </c>
      <c r="B14" s="93">
        <v>18.75</v>
      </c>
      <c r="C14" s="1" t="s">
        <v>7</v>
      </c>
    </row>
    <row r="15" spans="1:3" x14ac:dyDescent="0.25">
      <c r="A15" t="s">
        <v>84</v>
      </c>
      <c r="B15" s="93">
        <v>5</v>
      </c>
      <c r="C15" s="1" t="s">
        <v>83</v>
      </c>
    </row>
    <row r="16" spans="1:3" x14ac:dyDescent="0.25">
      <c r="A16" t="s">
        <v>85</v>
      </c>
      <c r="B16" s="93">
        <v>17</v>
      </c>
      <c r="C16" s="1" t="s">
        <v>83</v>
      </c>
    </row>
    <row r="18" spans="1:3" x14ac:dyDescent="0.25">
      <c r="A18" t="s">
        <v>95</v>
      </c>
      <c r="B18" s="93">
        <f>ROUNDUP((B4*12+B5)/(B7+B8),0)</f>
        <v>15</v>
      </c>
      <c r="C18" s="1" t="s">
        <v>17</v>
      </c>
    </row>
    <row r="19" spans="1:3" x14ac:dyDescent="0.25">
      <c r="A19" t="s">
        <v>94</v>
      </c>
      <c r="B19" s="93">
        <f>ROUNDUP((B2*12+B3)/(B6+B8),0)</f>
        <v>75</v>
      </c>
      <c r="C19" s="1" t="s">
        <v>17</v>
      </c>
    </row>
    <row r="20" spans="1:3" x14ac:dyDescent="0.25">
      <c r="A20" t="s">
        <v>93</v>
      </c>
      <c r="B20" s="93">
        <f>ROUNDUP((B4*12+B5)/B9,0)</f>
        <v>3</v>
      </c>
      <c r="C20" s="1" t="s">
        <v>17</v>
      </c>
    </row>
    <row r="21" spans="1:3" x14ac:dyDescent="0.25">
      <c r="A21" t="s">
        <v>92</v>
      </c>
      <c r="B21" s="93">
        <f>B18*B19-B22</f>
        <v>900</v>
      </c>
      <c r="C21" s="1" t="s">
        <v>17</v>
      </c>
    </row>
    <row r="22" spans="1:3" x14ac:dyDescent="0.25">
      <c r="A22" t="s">
        <v>91</v>
      </c>
      <c r="B22" s="93">
        <f>B19*B20</f>
        <v>225</v>
      </c>
      <c r="C22" s="1" t="s">
        <v>17</v>
      </c>
    </row>
    <row r="23" spans="1:3" x14ac:dyDescent="0.25">
      <c r="A23" t="s">
        <v>90</v>
      </c>
      <c r="B23" s="93">
        <f>ROUNDUP((B2+B3/12)*B20*B10/(B12-B11/12),0)</f>
        <v>32</v>
      </c>
      <c r="C23" s="1" t="s">
        <v>17</v>
      </c>
    </row>
    <row r="24" spans="1:3" x14ac:dyDescent="0.25">
      <c r="A24" t="s">
        <v>89</v>
      </c>
      <c r="B24" s="93">
        <f>ROUNDUP(B9+B14,0)</f>
        <v>67</v>
      </c>
      <c r="C24" s="1" t="s">
        <v>7</v>
      </c>
    </row>
    <row r="25" spans="1:3" x14ac:dyDescent="0.25">
      <c r="A25" t="s">
        <v>88</v>
      </c>
      <c r="B25" s="93">
        <f>IF((B4*12+B5-(B20-1)*B9)&gt;24,(B20-1)*B27,(B20-2)*B27)</f>
        <v>39</v>
      </c>
      <c r="C25" s="1" t="s">
        <v>17</v>
      </c>
    </row>
    <row r="26" spans="1:3" x14ac:dyDescent="0.25">
      <c r="A26" t="s">
        <v>87</v>
      </c>
      <c r="B26" s="93">
        <f>IF((B4*12+B5-(B20-1)*B9)&gt;24,B4*12+B5-(B20-1)*B9-1,B4*12+B5-(B20-2)*B9-1)</f>
        <v>71</v>
      </c>
      <c r="C26" s="1" t="s">
        <v>7</v>
      </c>
    </row>
    <row r="27" spans="1:3" x14ac:dyDescent="0.25">
      <c r="A27" t="s">
        <v>86</v>
      </c>
      <c r="B27" s="93">
        <f>ROUNDUP((B2*12+B3)/B13,0)+1</f>
        <v>39</v>
      </c>
      <c r="C27" s="1" t="s">
        <v>17</v>
      </c>
    </row>
    <row r="28" spans="1:3" x14ac:dyDescent="0.25">
      <c r="A28" t="s">
        <v>84</v>
      </c>
      <c r="B28" s="94">
        <f>(B2+B3/12)*(B4+B5/12)*B15/(100*27)</f>
        <v>1.8518518518518519</v>
      </c>
      <c r="C28" s="1" t="s">
        <v>10</v>
      </c>
    </row>
    <row r="29" spans="1:3" x14ac:dyDescent="0.25">
      <c r="A29" t="s">
        <v>85</v>
      </c>
      <c r="B29" s="94">
        <f>(B2+B3/12)*(B4+B5/12)*B16/(100*27)</f>
        <v>6.2962962962962967</v>
      </c>
      <c r="C29" s="1" t="s"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F5" sqref="F5"/>
    </sheetView>
  </sheetViews>
  <sheetFormatPr defaultRowHeight="15" x14ac:dyDescent="0.25"/>
  <cols>
    <col min="1" max="1" width="22" customWidth="1"/>
    <col min="2" max="2" width="13.140625" customWidth="1"/>
    <col min="3" max="3" width="11.42578125" style="1" customWidth="1"/>
  </cols>
  <sheetData>
    <row r="1" spans="1:3" x14ac:dyDescent="0.25">
      <c r="A1" t="s">
        <v>120</v>
      </c>
    </row>
    <row r="2" spans="1:3" x14ac:dyDescent="0.25">
      <c r="A2" t="s">
        <v>82</v>
      </c>
      <c r="B2">
        <v>50</v>
      </c>
      <c r="C2" s="1" t="s">
        <v>9</v>
      </c>
    </row>
    <row r="3" spans="1:3" x14ac:dyDescent="0.25">
      <c r="C3" s="1" t="s">
        <v>7</v>
      </c>
    </row>
    <row r="4" spans="1:3" x14ac:dyDescent="0.25">
      <c r="A4" t="s">
        <v>105</v>
      </c>
      <c r="B4">
        <v>10</v>
      </c>
      <c r="C4" s="1" t="s">
        <v>9</v>
      </c>
    </row>
    <row r="5" spans="1:3" x14ac:dyDescent="0.25">
      <c r="C5" s="1" t="s">
        <v>7</v>
      </c>
    </row>
    <row r="6" spans="1:3" x14ac:dyDescent="0.25">
      <c r="A6" t="s">
        <v>107</v>
      </c>
      <c r="B6">
        <v>11.5</v>
      </c>
      <c r="C6" s="1" t="s">
        <v>7</v>
      </c>
    </row>
    <row r="7" spans="1:3" x14ac:dyDescent="0.25">
      <c r="A7" t="s">
        <v>108</v>
      </c>
      <c r="B7">
        <v>2.5</v>
      </c>
      <c r="C7" s="1" t="s">
        <v>7</v>
      </c>
    </row>
    <row r="8" spans="1:3" x14ac:dyDescent="0.25">
      <c r="A8" t="s">
        <v>109</v>
      </c>
      <c r="B8">
        <v>0.5</v>
      </c>
      <c r="C8" s="1" t="s">
        <v>7</v>
      </c>
    </row>
    <row r="9" spans="1:3" x14ac:dyDescent="0.25">
      <c r="A9" t="s">
        <v>110</v>
      </c>
      <c r="B9">
        <v>12</v>
      </c>
      <c r="C9" s="1" t="s">
        <v>7</v>
      </c>
    </row>
    <row r="10" spans="1:3" x14ac:dyDescent="0.25">
      <c r="A10" t="s">
        <v>111</v>
      </c>
      <c r="B10">
        <v>24</v>
      </c>
      <c r="C10" s="1" t="s">
        <v>7</v>
      </c>
    </row>
    <row r="11" spans="1:3" x14ac:dyDescent="0.25">
      <c r="A11" t="s">
        <v>84</v>
      </c>
      <c r="B11">
        <v>10.199999999999999</v>
      </c>
      <c r="C11" s="1" t="s">
        <v>119</v>
      </c>
    </row>
    <row r="13" spans="1:3" x14ac:dyDescent="0.25">
      <c r="A13" t="s">
        <v>112</v>
      </c>
      <c r="B13">
        <f>ROUNDUP((B4*12+B5)/(B7+B8),0)</f>
        <v>40</v>
      </c>
      <c r="C13" s="1" t="s">
        <v>17</v>
      </c>
    </row>
    <row r="14" spans="1:3" x14ac:dyDescent="0.25">
      <c r="A14" t="s">
        <v>113</v>
      </c>
      <c r="B14">
        <f>ROUNDUP((B2*12+B3)/(B6+B8),0)</f>
        <v>50</v>
      </c>
      <c r="C14" s="1" t="s">
        <v>17</v>
      </c>
    </row>
    <row r="15" spans="1:3" x14ac:dyDescent="0.25">
      <c r="A15" t="s">
        <v>114</v>
      </c>
      <c r="B15">
        <f>B13*B14</f>
        <v>2000</v>
      </c>
      <c r="C15" s="1" t="s">
        <v>17</v>
      </c>
    </row>
    <row r="16" spans="1:3" x14ac:dyDescent="0.25">
      <c r="A16" t="s">
        <v>115</v>
      </c>
      <c r="B16">
        <f>ROUNDUP((B4*12+B5)/B9,0)</f>
        <v>10</v>
      </c>
      <c r="C16" s="1" t="s">
        <v>17</v>
      </c>
    </row>
    <row r="17" spans="1:3" x14ac:dyDescent="0.25">
      <c r="A17" t="s">
        <v>116</v>
      </c>
      <c r="B17">
        <f>ROUNDUP((B2*12+B3)/B10,0)+1</f>
        <v>26</v>
      </c>
      <c r="C17" s="1" t="s">
        <v>17</v>
      </c>
    </row>
    <row r="18" spans="1:3" x14ac:dyDescent="0.25">
      <c r="A18" t="s">
        <v>117</v>
      </c>
      <c r="B18">
        <f>B16*B17</f>
        <v>260</v>
      </c>
      <c r="C18" s="1" t="s">
        <v>17</v>
      </c>
    </row>
    <row r="19" spans="1:3" x14ac:dyDescent="0.25">
      <c r="A19" t="s">
        <v>118</v>
      </c>
      <c r="B19" s="96">
        <f>(B2+B3/12)*(B4+B5/12)*B11/(100*27)</f>
        <v>1.8888888888888888</v>
      </c>
      <c r="C19" s="1" t="s">
        <v>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F6" sqref="F6"/>
    </sheetView>
  </sheetViews>
  <sheetFormatPr defaultRowHeight="15" x14ac:dyDescent="0.25"/>
  <cols>
    <col min="1" max="1" width="18.140625" customWidth="1"/>
    <col min="2" max="2" width="11.5703125" customWidth="1"/>
    <col min="3" max="3" width="7.28515625" style="1" customWidth="1"/>
  </cols>
  <sheetData>
    <row r="1" spans="1:3" x14ac:dyDescent="0.25">
      <c r="A1" t="s">
        <v>126</v>
      </c>
    </row>
    <row r="2" spans="1:3" x14ac:dyDescent="0.25">
      <c r="A2" t="s">
        <v>122</v>
      </c>
      <c r="B2">
        <v>2</v>
      </c>
      <c r="C2" s="1" t="s">
        <v>7</v>
      </c>
    </row>
    <row r="3" spans="1:3" x14ac:dyDescent="0.25">
      <c r="A3" t="s">
        <v>123</v>
      </c>
      <c r="B3">
        <v>4</v>
      </c>
      <c r="C3" s="1" t="s">
        <v>7</v>
      </c>
    </row>
    <row r="4" spans="1:3" x14ac:dyDescent="0.25">
      <c r="A4" t="s">
        <v>124</v>
      </c>
      <c r="B4">
        <v>132</v>
      </c>
      <c r="C4" s="1" t="s">
        <v>9</v>
      </c>
    </row>
    <row r="6" spans="1:3" x14ac:dyDescent="0.25">
      <c r="A6" t="s">
        <v>125</v>
      </c>
      <c r="B6" s="96">
        <f>B2*B3*B4/12</f>
        <v>88</v>
      </c>
      <c r="C6" s="1" t="s">
        <v>121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16" sqref="F16"/>
    </sheetView>
  </sheetViews>
  <sheetFormatPr defaultRowHeight="15" x14ac:dyDescent="0.25"/>
  <cols>
    <col min="1" max="1" width="25.140625" customWidth="1"/>
    <col min="2" max="2" width="12.85546875" customWidth="1"/>
    <col min="3" max="3" width="4.28515625" customWidth="1"/>
    <col min="4" max="4" width="12.28515625" customWidth="1"/>
    <col min="5" max="5" width="4.28515625" customWidth="1"/>
    <col min="6" max="6" width="12" customWidth="1"/>
    <col min="7" max="7" width="4" customWidth="1"/>
  </cols>
  <sheetData>
    <row r="1" spans="1:7" x14ac:dyDescent="0.25">
      <c r="A1" t="s">
        <v>133</v>
      </c>
    </row>
    <row r="2" spans="1:7" x14ac:dyDescent="0.25">
      <c r="B2" s="156" t="s">
        <v>127</v>
      </c>
      <c r="C2" s="156"/>
      <c r="D2" s="156" t="s">
        <v>128</v>
      </c>
      <c r="E2" s="156"/>
      <c r="F2" s="156" t="s">
        <v>129</v>
      </c>
      <c r="G2" s="156"/>
    </row>
    <row r="3" spans="1:7" x14ac:dyDescent="0.25">
      <c r="A3" t="s">
        <v>132</v>
      </c>
      <c r="B3">
        <v>40</v>
      </c>
      <c r="C3" t="s">
        <v>9</v>
      </c>
      <c r="D3">
        <v>17</v>
      </c>
      <c r="E3" t="s">
        <v>9</v>
      </c>
      <c r="F3">
        <v>15</v>
      </c>
      <c r="G3" t="s">
        <v>9</v>
      </c>
    </row>
    <row r="4" spans="1:7" x14ac:dyDescent="0.25">
      <c r="A4" t="s">
        <v>131</v>
      </c>
      <c r="B4">
        <v>16</v>
      </c>
      <c r="C4" t="s">
        <v>7</v>
      </c>
      <c r="D4">
        <v>16</v>
      </c>
      <c r="E4" t="s">
        <v>7</v>
      </c>
      <c r="F4">
        <v>16</v>
      </c>
      <c r="G4" t="s">
        <v>7</v>
      </c>
    </row>
    <row r="5" spans="1:7" x14ac:dyDescent="0.25">
      <c r="A5" t="s">
        <v>130</v>
      </c>
      <c r="B5">
        <v>1</v>
      </c>
      <c r="D5">
        <v>1</v>
      </c>
      <c r="F5">
        <v>1</v>
      </c>
    </row>
    <row r="7" spans="1:7" x14ac:dyDescent="0.25">
      <c r="A7" t="s">
        <v>133</v>
      </c>
      <c r="B7">
        <f>ROUNDUP(B3*12/B4,0)+B5</f>
        <v>31</v>
      </c>
      <c r="C7" t="s">
        <v>17</v>
      </c>
      <c r="D7">
        <f>ROUNDUP(D3*12/D4,0)+D5</f>
        <v>14</v>
      </c>
      <c r="E7" t="s">
        <v>17</v>
      </c>
      <c r="F7">
        <f>ROUNDUP(F3*12/F4,0)+F5</f>
        <v>13</v>
      </c>
      <c r="G7" t="s">
        <v>17</v>
      </c>
    </row>
    <row r="9" spans="1:7" x14ac:dyDescent="0.25">
      <c r="A9" t="s">
        <v>134</v>
      </c>
      <c r="B9">
        <v>9</v>
      </c>
    </row>
    <row r="11" spans="1:7" x14ac:dyDescent="0.25">
      <c r="A11" t="s">
        <v>135</v>
      </c>
      <c r="B11">
        <f>B7+D7+F7+B9</f>
        <v>67</v>
      </c>
    </row>
  </sheetData>
  <mergeCells count="3">
    <mergeCell ref="B2:C2"/>
    <mergeCell ref="D2:E2"/>
    <mergeCell ref="F2:G2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E16" sqref="E16"/>
    </sheetView>
  </sheetViews>
  <sheetFormatPr defaultRowHeight="15" x14ac:dyDescent="0.25"/>
  <cols>
    <col min="1" max="1" width="17.5703125" customWidth="1"/>
    <col min="2" max="2" width="10.140625" customWidth="1"/>
    <col min="3" max="3" width="5.7109375" customWidth="1"/>
  </cols>
  <sheetData>
    <row r="1" spans="1:3" x14ac:dyDescent="0.25">
      <c r="A1" t="s">
        <v>140</v>
      </c>
    </row>
    <row r="2" spans="1:3" x14ac:dyDescent="0.25">
      <c r="A2" t="s">
        <v>132</v>
      </c>
      <c r="B2">
        <v>40</v>
      </c>
      <c r="C2" t="s">
        <v>9</v>
      </c>
    </row>
    <row r="3" spans="1:3" x14ac:dyDescent="0.25">
      <c r="A3" t="s">
        <v>136</v>
      </c>
      <c r="B3">
        <v>26</v>
      </c>
      <c r="C3" t="s">
        <v>9</v>
      </c>
    </row>
    <row r="5" spans="1:3" x14ac:dyDescent="0.25">
      <c r="A5" t="s">
        <v>137</v>
      </c>
      <c r="B5">
        <f>ROUNDUP(B3/4,0)</f>
        <v>7</v>
      </c>
      <c r="C5" t="s">
        <v>17</v>
      </c>
    </row>
    <row r="6" spans="1:3" x14ac:dyDescent="0.25">
      <c r="A6" t="s">
        <v>138</v>
      </c>
      <c r="B6">
        <f>CEILING(B2/8,1/3)</f>
        <v>5</v>
      </c>
      <c r="C6" t="s">
        <v>17</v>
      </c>
    </row>
    <row r="8" spans="1:3" x14ac:dyDescent="0.25">
      <c r="A8" t="s">
        <v>139</v>
      </c>
      <c r="B8">
        <f>ROUNDUP(B5*B6,0)</f>
        <v>35</v>
      </c>
      <c r="C8" t="s">
        <v>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5" sqref="C15"/>
    </sheetView>
  </sheetViews>
  <sheetFormatPr defaultRowHeight="15" x14ac:dyDescent="0.25"/>
  <cols>
    <col min="1" max="1" width="24.42578125" customWidth="1"/>
  </cols>
  <sheetData>
    <row r="1" spans="1:3" x14ac:dyDescent="0.25">
      <c r="A1" t="s">
        <v>149</v>
      </c>
    </row>
    <row r="2" spans="1:3" x14ac:dyDescent="0.25">
      <c r="A2" t="s">
        <v>141</v>
      </c>
      <c r="B2">
        <v>20</v>
      </c>
      <c r="C2" t="s">
        <v>9</v>
      </c>
    </row>
    <row r="3" spans="1:3" x14ac:dyDescent="0.25">
      <c r="A3" t="s">
        <v>142</v>
      </c>
      <c r="B3">
        <v>20</v>
      </c>
      <c r="C3" t="s">
        <v>9</v>
      </c>
    </row>
    <row r="4" spans="1:3" x14ac:dyDescent="0.25">
      <c r="A4" t="s">
        <v>143</v>
      </c>
      <c r="B4">
        <v>6</v>
      </c>
      <c r="C4" t="s">
        <v>7</v>
      </c>
    </row>
    <row r="5" spans="1:3" x14ac:dyDescent="0.25">
      <c r="A5" t="s">
        <v>144</v>
      </c>
      <c r="B5">
        <v>5.5</v>
      </c>
      <c r="C5" t="s">
        <v>7</v>
      </c>
    </row>
    <row r="6" spans="1:3" x14ac:dyDescent="0.25">
      <c r="A6" t="s">
        <v>145</v>
      </c>
      <c r="B6">
        <v>3</v>
      </c>
      <c r="C6" t="s">
        <v>7</v>
      </c>
    </row>
    <row r="7" spans="1:3" x14ac:dyDescent="0.25">
      <c r="A7" t="s">
        <v>146</v>
      </c>
      <c r="C7" t="s">
        <v>7</v>
      </c>
    </row>
    <row r="9" spans="1:3" x14ac:dyDescent="0.25">
      <c r="A9" t="s">
        <v>147</v>
      </c>
      <c r="B9">
        <f>ROUNDUP(B3*12/(B5+B7),0)*B2</f>
        <v>880</v>
      </c>
      <c r="C9" t="s">
        <v>9</v>
      </c>
    </row>
    <row r="10" spans="1:3" x14ac:dyDescent="0.25">
      <c r="A10" t="s">
        <v>148</v>
      </c>
      <c r="B10">
        <f>B4*B6*B9/12</f>
        <v>1320</v>
      </c>
      <c r="C10" t="s">
        <v>121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4" sqref="E14"/>
    </sheetView>
  </sheetViews>
  <sheetFormatPr defaultRowHeight="15" x14ac:dyDescent="0.25"/>
  <cols>
    <col min="1" max="1" width="21.42578125" customWidth="1"/>
    <col min="2" max="2" width="11.85546875" customWidth="1"/>
    <col min="3" max="3" width="6.5703125" customWidth="1"/>
  </cols>
  <sheetData>
    <row r="1" spans="1:3" x14ac:dyDescent="0.25">
      <c r="A1" t="s">
        <v>82</v>
      </c>
      <c r="B1">
        <v>142</v>
      </c>
      <c r="C1" t="s">
        <v>9</v>
      </c>
    </row>
    <row r="2" spans="1:3" x14ac:dyDescent="0.25">
      <c r="A2" t="s">
        <v>150</v>
      </c>
      <c r="B2">
        <v>16</v>
      </c>
      <c r="C2" t="s">
        <v>7</v>
      </c>
    </row>
    <row r="3" spans="1:3" x14ac:dyDescent="0.25">
      <c r="A3" t="s">
        <v>151</v>
      </c>
      <c r="B3">
        <v>4</v>
      </c>
      <c r="C3" t="s">
        <v>17</v>
      </c>
    </row>
    <row r="4" spans="1:3" x14ac:dyDescent="0.25">
      <c r="A4" t="s">
        <v>152</v>
      </c>
      <c r="B4">
        <v>4</v>
      </c>
      <c r="C4" t="s">
        <v>17</v>
      </c>
    </row>
    <row r="5" spans="1:3" x14ac:dyDescent="0.25">
      <c r="A5" t="s">
        <v>153</v>
      </c>
      <c r="B5">
        <v>8</v>
      </c>
      <c r="C5" t="s">
        <v>17</v>
      </c>
    </row>
    <row r="6" spans="1:3" x14ac:dyDescent="0.25">
      <c r="A6" t="s">
        <v>154</v>
      </c>
      <c r="B6">
        <v>5</v>
      </c>
      <c r="C6" t="s">
        <v>17</v>
      </c>
    </row>
    <row r="7" spans="1:3" x14ac:dyDescent="0.25">
      <c r="A7" t="s">
        <v>155</v>
      </c>
      <c r="B7">
        <v>2</v>
      </c>
      <c r="C7" t="s">
        <v>17</v>
      </c>
    </row>
    <row r="8" spans="1:3" x14ac:dyDescent="0.25">
      <c r="A8" t="s">
        <v>156</v>
      </c>
      <c r="B8">
        <v>1</v>
      </c>
      <c r="C8" t="s">
        <v>17</v>
      </c>
    </row>
    <row r="9" spans="1:3" x14ac:dyDescent="0.25">
      <c r="A9" t="s">
        <v>157</v>
      </c>
      <c r="B9">
        <v>2</v>
      </c>
      <c r="C9" t="s">
        <v>17</v>
      </c>
    </row>
    <row r="10" spans="1:3" x14ac:dyDescent="0.25">
      <c r="A10" t="s">
        <v>158</v>
      </c>
      <c r="B10">
        <v>0</v>
      </c>
      <c r="C10" t="s">
        <v>17</v>
      </c>
    </row>
    <row r="12" spans="1:3" x14ac:dyDescent="0.25">
      <c r="A12" t="s">
        <v>159</v>
      </c>
      <c r="B12">
        <f>ROUNDUP(B1*12/B2,0)+B3+B4*2+B5*2+B6*2+B7*6+B8*8+B9+B10*3</f>
        <v>167</v>
      </c>
      <c r="C12" t="s">
        <v>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 x14ac:dyDescent="0.25"/>
  <cols>
    <col min="1" max="1" width="17.28515625" customWidth="1"/>
  </cols>
  <sheetData>
    <row r="1" spans="1:3" x14ac:dyDescent="0.25">
      <c r="A1" t="s">
        <v>167</v>
      </c>
    </row>
    <row r="2" spans="1:3" x14ac:dyDescent="0.25">
      <c r="A2" t="s">
        <v>160</v>
      </c>
      <c r="B2">
        <v>20</v>
      </c>
      <c r="C2" t="s">
        <v>9</v>
      </c>
    </row>
    <row r="3" spans="1:3" x14ac:dyDescent="0.25">
      <c r="A3" t="s">
        <v>161</v>
      </c>
      <c r="B3">
        <v>24</v>
      </c>
      <c r="C3" t="s">
        <v>7</v>
      </c>
    </row>
    <row r="4" spans="1:3" x14ac:dyDescent="0.25">
      <c r="A4" t="s">
        <v>162</v>
      </c>
      <c r="B4">
        <v>4</v>
      </c>
      <c r="C4" t="s">
        <v>166</v>
      </c>
    </row>
    <row r="5" spans="1:3" x14ac:dyDescent="0.25">
      <c r="A5" t="s">
        <v>3</v>
      </c>
      <c r="B5">
        <v>7.25</v>
      </c>
      <c r="C5" t="s">
        <v>7</v>
      </c>
    </row>
    <row r="7" spans="1:3" x14ac:dyDescent="0.25">
      <c r="A7" t="s">
        <v>163</v>
      </c>
      <c r="B7">
        <f>(B2/2+B3/12)*B4/12</f>
        <v>4</v>
      </c>
      <c r="C7" t="s">
        <v>9</v>
      </c>
    </row>
    <row r="8" spans="1:3" x14ac:dyDescent="0.25">
      <c r="A8" t="s">
        <v>164</v>
      </c>
      <c r="B8" s="96">
        <f>(B2/2+B3/12)*(1+(B4/12)^2)^0.5+B5*B4/(12*12)</f>
        <v>12.850499529562407</v>
      </c>
      <c r="C8" t="s">
        <v>9</v>
      </c>
    </row>
    <row r="9" spans="1:3" x14ac:dyDescent="0.25">
      <c r="A9" t="s">
        <v>165</v>
      </c>
      <c r="B9" s="96">
        <f>(B2/2+B3/12)*(2+(B4/12)^2)^0.5+B5*B4/(17*12)</f>
        <v>17.577752636907789</v>
      </c>
      <c r="C9" t="s">
        <v>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E11" sqref="E11"/>
    </sheetView>
  </sheetViews>
  <sheetFormatPr defaultRowHeight="15" x14ac:dyDescent="0.25"/>
  <cols>
    <col min="1" max="1" width="24" customWidth="1"/>
    <col min="2" max="2" width="11.42578125" customWidth="1"/>
    <col min="3" max="3" width="7" customWidth="1"/>
  </cols>
  <sheetData>
    <row r="1" spans="1:3" x14ac:dyDescent="0.25">
      <c r="A1" t="s">
        <v>183</v>
      </c>
    </row>
    <row r="2" spans="1:3" x14ac:dyDescent="0.25">
      <c r="A2" t="s">
        <v>175</v>
      </c>
      <c r="B2">
        <v>30</v>
      </c>
      <c r="C2" t="s">
        <v>9</v>
      </c>
    </row>
    <row r="3" spans="1:3" x14ac:dyDescent="0.25">
      <c r="A3" t="s">
        <v>176</v>
      </c>
      <c r="B3">
        <v>20</v>
      </c>
      <c r="C3" t="s">
        <v>9</v>
      </c>
    </row>
    <row r="4" spans="1:3" x14ac:dyDescent="0.25">
      <c r="A4" t="s">
        <v>177</v>
      </c>
      <c r="B4">
        <v>30</v>
      </c>
      <c r="C4" t="s">
        <v>9</v>
      </c>
    </row>
    <row r="5" spans="1:3" x14ac:dyDescent="0.25">
      <c r="A5" t="s">
        <v>178</v>
      </c>
      <c r="B5">
        <v>20</v>
      </c>
      <c r="C5" t="s">
        <v>9</v>
      </c>
    </row>
    <row r="6" spans="1:3" x14ac:dyDescent="0.25">
      <c r="A6" t="s">
        <v>179</v>
      </c>
      <c r="C6" t="s">
        <v>9</v>
      </c>
    </row>
    <row r="7" spans="1:3" x14ac:dyDescent="0.25">
      <c r="A7" t="s">
        <v>180</v>
      </c>
      <c r="C7" t="s">
        <v>9</v>
      </c>
    </row>
    <row r="8" spans="1:3" x14ac:dyDescent="0.25">
      <c r="A8" t="s">
        <v>105</v>
      </c>
      <c r="B8">
        <v>8</v>
      </c>
      <c r="C8" t="s">
        <v>9</v>
      </c>
    </row>
    <row r="9" spans="1:3" x14ac:dyDescent="0.25">
      <c r="A9" t="s">
        <v>168</v>
      </c>
      <c r="B9">
        <v>6</v>
      </c>
      <c r="C9" t="s">
        <v>7</v>
      </c>
    </row>
    <row r="10" spans="1:3" x14ac:dyDescent="0.25">
      <c r="A10" t="s">
        <v>169</v>
      </c>
      <c r="B10">
        <v>12</v>
      </c>
      <c r="C10" t="s">
        <v>7</v>
      </c>
    </row>
    <row r="11" spans="1:3" x14ac:dyDescent="0.25">
      <c r="A11" t="s">
        <v>170</v>
      </c>
      <c r="B11">
        <v>4</v>
      </c>
      <c r="C11" t="s">
        <v>17</v>
      </c>
    </row>
    <row r="12" spans="1:3" x14ac:dyDescent="0.25">
      <c r="A12" t="s">
        <v>171</v>
      </c>
      <c r="B12">
        <v>80</v>
      </c>
      <c r="C12" t="s">
        <v>181</v>
      </c>
    </row>
    <row r="14" spans="1:3" x14ac:dyDescent="0.25">
      <c r="A14" t="s">
        <v>172</v>
      </c>
      <c r="B14">
        <f>SUM(B2:B7)</f>
        <v>100</v>
      </c>
      <c r="C14" t="s">
        <v>9</v>
      </c>
    </row>
    <row r="15" spans="1:3" x14ac:dyDescent="0.25">
      <c r="A15" t="s">
        <v>174</v>
      </c>
      <c r="B15">
        <f>B14*(B8-B9/12+B10/12)+B11*(B10/12)*(B10/12)</f>
        <v>854</v>
      </c>
      <c r="C15" t="s">
        <v>18</v>
      </c>
    </row>
    <row r="16" spans="1:3" x14ac:dyDescent="0.25">
      <c r="A16" t="s">
        <v>173</v>
      </c>
      <c r="B16" s="96">
        <f>B15/B12</f>
        <v>10.675000000000001</v>
      </c>
      <c r="C16" t="s">
        <v>182</v>
      </c>
    </row>
  </sheetData>
  <pageMargins left="0.7" right="0.7" top="0.75" bottom="0.75" header="0.3" footer="0.3"/>
  <ignoredErrors>
    <ignoredError sqref="B14" formulaRange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H19" sqref="H19"/>
    </sheetView>
  </sheetViews>
  <sheetFormatPr defaultRowHeight="15" x14ac:dyDescent="0.25"/>
  <cols>
    <col min="1" max="1" width="27.42578125" customWidth="1"/>
    <col min="2" max="2" width="11.28515625" customWidth="1"/>
    <col min="3" max="3" width="7.42578125" style="1" customWidth="1"/>
  </cols>
  <sheetData>
    <row r="1" spans="1:3" x14ac:dyDescent="0.25">
      <c r="A1" t="s">
        <v>216</v>
      </c>
    </row>
    <row r="2" spans="1:3" x14ac:dyDescent="0.25">
      <c r="A2" t="s">
        <v>192</v>
      </c>
      <c r="B2">
        <v>44</v>
      </c>
      <c r="C2" s="1" t="s">
        <v>9</v>
      </c>
    </row>
    <row r="3" spans="1:3" x14ac:dyDescent="0.25">
      <c r="A3" t="s">
        <v>193</v>
      </c>
      <c r="B3">
        <v>32</v>
      </c>
      <c r="C3" s="1" t="s">
        <v>9</v>
      </c>
    </row>
    <row r="4" spans="1:3" x14ac:dyDescent="0.25">
      <c r="A4" t="s">
        <v>162</v>
      </c>
      <c r="B4">
        <v>6</v>
      </c>
      <c r="C4" s="1" t="s">
        <v>166</v>
      </c>
    </row>
    <row r="5" spans="1:3" x14ac:dyDescent="0.25">
      <c r="A5" t="s">
        <v>184</v>
      </c>
      <c r="B5">
        <v>3</v>
      </c>
      <c r="C5" s="1" t="s">
        <v>9</v>
      </c>
    </row>
    <row r="6" spans="1:3" x14ac:dyDescent="0.25">
      <c r="A6" t="s">
        <v>185</v>
      </c>
      <c r="B6">
        <v>4</v>
      </c>
      <c r="C6" s="1" t="s">
        <v>194</v>
      </c>
    </row>
    <row r="7" spans="1:3" x14ac:dyDescent="0.25">
      <c r="A7" t="s">
        <v>186</v>
      </c>
      <c r="B7">
        <v>6</v>
      </c>
      <c r="C7" s="1" t="s">
        <v>7</v>
      </c>
    </row>
    <row r="8" spans="1:3" x14ac:dyDescent="0.25">
      <c r="A8" t="s">
        <v>187</v>
      </c>
      <c r="B8">
        <v>12</v>
      </c>
      <c r="C8" s="1" t="s">
        <v>7</v>
      </c>
    </row>
    <row r="9" spans="1:3" x14ac:dyDescent="0.25">
      <c r="A9" t="s">
        <v>188</v>
      </c>
      <c r="B9">
        <v>91</v>
      </c>
      <c r="C9" s="1" t="s">
        <v>9</v>
      </c>
    </row>
    <row r="10" spans="1:3" x14ac:dyDescent="0.25">
      <c r="A10" t="s">
        <v>189</v>
      </c>
      <c r="B10">
        <v>12</v>
      </c>
      <c r="C10" s="1" t="s">
        <v>9</v>
      </c>
    </row>
    <row r="11" spans="1:3" x14ac:dyDescent="0.25">
      <c r="A11" t="s">
        <v>190</v>
      </c>
      <c r="B11">
        <v>1</v>
      </c>
      <c r="C11" s="1" t="s">
        <v>17</v>
      </c>
    </row>
    <row r="13" spans="1:3" x14ac:dyDescent="0.25">
      <c r="A13" t="s">
        <v>37</v>
      </c>
      <c r="B13" s="97">
        <f>B2*B3*(1+(B4/12)^2)^0.5*(B5/(B5-B7/12))+B9*((1+(B4/12)^2)/2)^0.5*(B5+B8/12)*(B5/(B5-B7/12))+(B10+2*B11*B8/12)*B5</f>
        <v>2276.3509478822093</v>
      </c>
      <c r="C13" s="1" t="s">
        <v>18</v>
      </c>
    </row>
    <row r="14" spans="1:3" x14ac:dyDescent="0.25">
      <c r="A14" t="s">
        <v>191</v>
      </c>
      <c r="B14">
        <f>ROUNDUP(B13/(B6*100),0)</f>
        <v>6</v>
      </c>
      <c r="C14" s="1" t="s">
        <v>17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19" sqref="F19"/>
    </sheetView>
  </sheetViews>
  <sheetFormatPr defaultRowHeight="15" x14ac:dyDescent="0.25"/>
  <cols>
    <col min="1" max="1" width="19.28515625" customWidth="1"/>
    <col min="2" max="2" width="11.5703125" customWidth="1"/>
    <col min="3" max="3" width="5.140625" customWidth="1"/>
    <col min="4" max="4" width="10.140625" customWidth="1"/>
    <col min="5" max="5" width="4.7109375" customWidth="1"/>
    <col min="6" max="6" width="11.5703125" customWidth="1"/>
    <col min="7" max="7" width="5.140625" customWidth="1"/>
  </cols>
  <sheetData>
    <row r="1" spans="1:7" x14ac:dyDescent="0.25">
      <c r="A1" t="s">
        <v>206</v>
      </c>
    </row>
    <row r="2" spans="1:7" x14ac:dyDescent="0.25">
      <c r="A2" t="s">
        <v>195</v>
      </c>
      <c r="B2">
        <v>15</v>
      </c>
      <c r="C2" t="s">
        <v>7</v>
      </c>
    </row>
    <row r="3" spans="1:7" x14ac:dyDescent="0.25">
      <c r="A3" t="s">
        <v>196</v>
      </c>
      <c r="B3">
        <v>40</v>
      </c>
      <c r="C3" t="s">
        <v>18</v>
      </c>
    </row>
    <row r="5" spans="1:7" x14ac:dyDescent="0.25">
      <c r="A5" s="156" t="s">
        <v>205</v>
      </c>
      <c r="B5" s="156"/>
      <c r="C5" s="156"/>
      <c r="D5" s="156"/>
      <c r="E5" s="156"/>
      <c r="F5" s="156"/>
      <c r="G5" s="156"/>
    </row>
    <row r="6" spans="1:7" x14ac:dyDescent="0.25">
      <c r="A6" t="s">
        <v>197</v>
      </c>
      <c r="B6">
        <v>1</v>
      </c>
      <c r="C6" t="s">
        <v>17</v>
      </c>
      <c r="E6" t="s">
        <v>17</v>
      </c>
      <c r="G6" t="s">
        <v>17</v>
      </c>
    </row>
    <row r="7" spans="1:7" x14ac:dyDescent="0.25">
      <c r="A7" t="s">
        <v>198</v>
      </c>
      <c r="B7">
        <v>8</v>
      </c>
      <c r="C7" t="s">
        <v>9</v>
      </c>
      <c r="E7" t="s">
        <v>9</v>
      </c>
      <c r="G7" t="s">
        <v>9</v>
      </c>
    </row>
    <row r="8" spans="1:7" x14ac:dyDescent="0.25">
      <c r="A8" t="s">
        <v>22</v>
      </c>
      <c r="B8">
        <v>90</v>
      </c>
      <c r="C8" t="s">
        <v>9</v>
      </c>
      <c r="E8" t="s">
        <v>9</v>
      </c>
      <c r="G8" t="s">
        <v>9</v>
      </c>
    </row>
    <row r="9" spans="1:7" x14ac:dyDescent="0.25">
      <c r="A9" t="s">
        <v>37</v>
      </c>
      <c r="B9">
        <f>B6*B7*B8</f>
        <v>720</v>
      </c>
      <c r="C9" t="s">
        <v>18</v>
      </c>
      <c r="E9" t="s">
        <v>18</v>
      </c>
      <c r="G9" t="s">
        <v>18</v>
      </c>
    </row>
    <row r="10" spans="1:7" x14ac:dyDescent="0.25">
      <c r="A10" s="156" t="s">
        <v>204</v>
      </c>
      <c r="B10" s="156"/>
      <c r="C10" s="156"/>
      <c r="D10" s="156"/>
      <c r="E10" s="156"/>
      <c r="F10" s="156"/>
      <c r="G10" s="156"/>
    </row>
    <row r="11" spans="1:7" x14ac:dyDescent="0.25">
      <c r="A11" t="s">
        <v>199</v>
      </c>
      <c r="C11" t="s">
        <v>17</v>
      </c>
      <c r="E11" t="s">
        <v>17</v>
      </c>
      <c r="G11" t="s">
        <v>17</v>
      </c>
    </row>
    <row r="12" spans="1:7" x14ac:dyDescent="0.25">
      <c r="A12" t="s">
        <v>200</v>
      </c>
      <c r="C12" t="s">
        <v>9</v>
      </c>
      <c r="E12" t="s">
        <v>9</v>
      </c>
      <c r="G12" t="s">
        <v>9</v>
      </c>
    </row>
    <row r="13" spans="1:7" x14ac:dyDescent="0.25">
      <c r="A13" t="s">
        <v>21</v>
      </c>
      <c r="C13" t="s">
        <v>9</v>
      </c>
      <c r="E13" t="s">
        <v>9</v>
      </c>
      <c r="G13" t="s">
        <v>9</v>
      </c>
    </row>
    <row r="14" spans="1:7" x14ac:dyDescent="0.25">
      <c r="A14" t="s">
        <v>37</v>
      </c>
      <c r="B14">
        <f>B11*B12*B13/2</f>
        <v>0</v>
      </c>
      <c r="C14" t="s">
        <v>18</v>
      </c>
      <c r="E14" t="s">
        <v>18</v>
      </c>
      <c r="G14" t="s">
        <v>18</v>
      </c>
    </row>
    <row r="16" spans="1:7" x14ac:dyDescent="0.25">
      <c r="A16" t="s">
        <v>201</v>
      </c>
      <c r="B16">
        <f>B9+D9+F9+B14+D14+F14</f>
        <v>720</v>
      </c>
      <c r="C16" t="s">
        <v>18</v>
      </c>
    </row>
    <row r="17" spans="1:3" x14ac:dyDescent="0.25">
      <c r="A17" t="s">
        <v>202</v>
      </c>
      <c r="B17">
        <f>B16*B2/(B2+1)</f>
        <v>675</v>
      </c>
      <c r="C17" t="s">
        <v>18</v>
      </c>
    </row>
    <row r="18" spans="1:3" x14ac:dyDescent="0.25">
      <c r="A18" t="s">
        <v>203</v>
      </c>
      <c r="B18">
        <f>+ROUNDUP(B17/B3,0)</f>
        <v>17</v>
      </c>
      <c r="C18" t="s">
        <v>17</v>
      </c>
    </row>
  </sheetData>
  <mergeCells count="2">
    <mergeCell ref="A5:G5"/>
    <mergeCell ref="A10:G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B17" sqref="B17"/>
    </sheetView>
  </sheetViews>
  <sheetFormatPr defaultRowHeight="15" x14ac:dyDescent="0.25"/>
  <cols>
    <col min="1" max="1" width="25.42578125" customWidth="1"/>
  </cols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162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189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24" sqref="F24"/>
    </sheetView>
  </sheetViews>
  <sheetFormatPr defaultRowHeight="15" x14ac:dyDescent="0.25"/>
  <cols>
    <col min="1" max="1" width="18.140625" customWidth="1"/>
    <col min="2" max="2" width="11.42578125" customWidth="1"/>
    <col min="3" max="3" width="5.7109375" style="1" customWidth="1"/>
    <col min="4" max="4" width="12.28515625" customWidth="1"/>
    <col min="5" max="5" width="4.42578125" customWidth="1"/>
    <col min="6" max="6" width="11.7109375" customWidth="1"/>
    <col min="7" max="7" width="4.42578125" customWidth="1"/>
  </cols>
  <sheetData>
    <row r="1" spans="1:7" x14ac:dyDescent="0.25">
      <c r="A1" t="s">
        <v>221</v>
      </c>
    </row>
    <row r="2" spans="1:7" x14ac:dyDescent="0.25">
      <c r="A2" t="s">
        <v>217</v>
      </c>
      <c r="B2">
        <v>10</v>
      </c>
      <c r="C2" s="1" t="s">
        <v>7</v>
      </c>
    </row>
    <row r="3" spans="1:7" x14ac:dyDescent="0.25">
      <c r="A3" t="s">
        <v>162</v>
      </c>
      <c r="B3">
        <v>4</v>
      </c>
      <c r="C3" s="1" t="s">
        <v>166</v>
      </c>
    </row>
    <row r="5" spans="1:7" x14ac:dyDescent="0.25">
      <c r="A5" s="156" t="s">
        <v>219</v>
      </c>
      <c r="B5" s="156"/>
      <c r="C5" s="156"/>
      <c r="D5" s="156"/>
      <c r="E5" s="156"/>
      <c r="F5" s="156"/>
      <c r="G5" s="156"/>
    </row>
    <row r="6" spans="1:7" x14ac:dyDescent="0.25">
      <c r="A6" t="s">
        <v>199</v>
      </c>
      <c r="B6">
        <v>1</v>
      </c>
      <c r="C6" s="1" t="s">
        <v>17</v>
      </c>
      <c r="E6" s="1" t="s">
        <v>17</v>
      </c>
      <c r="G6" s="1" t="s">
        <v>17</v>
      </c>
    </row>
    <row r="7" spans="1:7" x14ac:dyDescent="0.25">
      <c r="A7" t="s">
        <v>198</v>
      </c>
      <c r="B7">
        <v>9</v>
      </c>
      <c r="C7" s="1" t="s">
        <v>9</v>
      </c>
      <c r="E7" s="1" t="s">
        <v>9</v>
      </c>
      <c r="G7" s="1" t="s">
        <v>9</v>
      </c>
    </row>
    <row r="8" spans="1:7" x14ac:dyDescent="0.25">
      <c r="A8" t="s">
        <v>218</v>
      </c>
      <c r="B8">
        <v>32</v>
      </c>
      <c r="C8" s="1" t="s">
        <v>9</v>
      </c>
      <c r="E8" s="1" t="s">
        <v>9</v>
      </c>
      <c r="G8" s="1" t="s">
        <v>9</v>
      </c>
    </row>
    <row r="9" spans="1:7" x14ac:dyDescent="0.25">
      <c r="A9" t="s">
        <v>37</v>
      </c>
      <c r="B9">
        <f>B6*B7*B8</f>
        <v>288</v>
      </c>
      <c r="C9" s="1" t="s">
        <v>18</v>
      </c>
      <c r="E9" s="1" t="s">
        <v>18</v>
      </c>
      <c r="G9" s="1" t="s">
        <v>18</v>
      </c>
    </row>
    <row r="10" spans="1:7" x14ac:dyDescent="0.25">
      <c r="A10" s="156" t="s">
        <v>220</v>
      </c>
      <c r="B10" s="156"/>
      <c r="C10" s="156"/>
      <c r="D10" s="156"/>
      <c r="E10" s="156"/>
      <c r="F10" s="156"/>
      <c r="G10" s="156"/>
    </row>
    <row r="11" spans="1:7" x14ac:dyDescent="0.25">
      <c r="A11" t="s">
        <v>199</v>
      </c>
      <c r="B11">
        <v>1</v>
      </c>
      <c r="C11" s="1" t="s">
        <v>17</v>
      </c>
      <c r="E11" s="1" t="s">
        <v>17</v>
      </c>
      <c r="G11" s="1" t="s">
        <v>17</v>
      </c>
    </row>
    <row r="12" spans="1:7" x14ac:dyDescent="0.25">
      <c r="A12" t="s">
        <v>200</v>
      </c>
      <c r="B12">
        <v>32</v>
      </c>
      <c r="C12" s="1" t="s">
        <v>9</v>
      </c>
      <c r="E12" s="1" t="s">
        <v>9</v>
      </c>
      <c r="G12" s="1" t="s">
        <v>9</v>
      </c>
    </row>
    <row r="13" spans="1:7" x14ac:dyDescent="0.25">
      <c r="A13" t="s">
        <v>21</v>
      </c>
      <c r="B13" s="95">
        <f>(B12/2)*$B$3/12</f>
        <v>5.333333333333333</v>
      </c>
      <c r="C13" s="1" t="s">
        <v>9</v>
      </c>
      <c r="E13" s="1" t="s">
        <v>9</v>
      </c>
      <c r="G13" s="1" t="s">
        <v>9</v>
      </c>
    </row>
    <row r="14" spans="1:7" x14ac:dyDescent="0.25">
      <c r="A14" t="s">
        <v>37</v>
      </c>
      <c r="B14" s="97">
        <f>B11*(B12/2+$B$2/$B$3)*B13</f>
        <v>98.666666666666657</v>
      </c>
      <c r="C14" s="1" t="s">
        <v>18</v>
      </c>
      <c r="E14" s="1" t="s">
        <v>18</v>
      </c>
      <c r="G14" s="1" t="s">
        <v>18</v>
      </c>
    </row>
    <row r="16" spans="1:7" x14ac:dyDescent="0.25">
      <c r="A16" t="s">
        <v>201</v>
      </c>
      <c r="B16" s="97">
        <f>B9+D9+F9+B14+D14+F14</f>
        <v>386.66666666666663</v>
      </c>
      <c r="C16" s="1" t="s">
        <v>18</v>
      </c>
    </row>
  </sheetData>
  <mergeCells count="2">
    <mergeCell ref="A5:G5"/>
    <mergeCell ref="A10:G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F21" sqref="F21"/>
    </sheetView>
  </sheetViews>
  <sheetFormatPr defaultRowHeight="15" x14ac:dyDescent="0.25"/>
  <cols>
    <col min="1" max="1" width="13.85546875" customWidth="1"/>
    <col min="2" max="2" width="12.5703125" customWidth="1"/>
    <col min="3" max="3" width="4.42578125" customWidth="1"/>
    <col min="4" max="4" width="14.28515625" customWidth="1"/>
    <col min="5" max="5" width="4" customWidth="1"/>
    <col min="6" max="6" width="12.140625" customWidth="1"/>
    <col min="7" max="7" width="4.28515625" customWidth="1"/>
    <col min="8" max="8" width="12.85546875" customWidth="1"/>
    <col min="9" max="9" width="3.5703125" customWidth="1"/>
    <col min="10" max="10" width="12.5703125" customWidth="1"/>
    <col min="11" max="11" width="3.85546875" customWidth="1"/>
  </cols>
  <sheetData>
    <row r="1" spans="1:11" x14ac:dyDescent="0.25">
      <c r="A1" t="s">
        <v>233</v>
      </c>
    </row>
    <row r="2" spans="1:11" x14ac:dyDescent="0.25">
      <c r="B2" s="156" t="s">
        <v>228</v>
      </c>
      <c r="C2" s="156"/>
      <c r="D2" s="156" t="s">
        <v>229</v>
      </c>
      <c r="E2" s="156"/>
      <c r="F2" s="156" t="s">
        <v>230</v>
      </c>
      <c r="G2" s="156"/>
      <c r="H2" s="156" t="s">
        <v>231</v>
      </c>
      <c r="I2" s="156"/>
      <c r="J2" s="156" t="s">
        <v>232</v>
      </c>
      <c r="K2" s="156"/>
    </row>
    <row r="3" spans="1:11" x14ac:dyDescent="0.25">
      <c r="A3" t="s">
        <v>222</v>
      </c>
      <c r="B3">
        <v>24</v>
      </c>
      <c r="C3" t="s">
        <v>9</v>
      </c>
      <c r="D3">
        <v>11</v>
      </c>
      <c r="E3" t="s">
        <v>9</v>
      </c>
      <c r="F3">
        <v>11</v>
      </c>
      <c r="G3" t="s">
        <v>9</v>
      </c>
      <c r="H3">
        <v>5</v>
      </c>
      <c r="I3" t="s">
        <v>9</v>
      </c>
      <c r="J3">
        <v>5</v>
      </c>
      <c r="K3" t="s">
        <v>9</v>
      </c>
    </row>
    <row r="4" spans="1:11" x14ac:dyDescent="0.25">
      <c r="B4">
        <v>4</v>
      </c>
      <c r="C4" t="s">
        <v>7</v>
      </c>
      <c r="D4">
        <v>5</v>
      </c>
      <c r="E4" t="s">
        <v>7</v>
      </c>
      <c r="F4">
        <v>5</v>
      </c>
      <c r="G4" t="s">
        <v>7</v>
      </c>
      <c r="H4">
        <v>7</v>
      </c>
      <c r="I4" t="s">
        <v>7</v>
      </c>
      <c r="J4">
        <v>6</v>
      </c>
      <c r="K4" t="s">
        <v>7</v>
      </c>
    </row>
    <row r="5" spans="1:11" x14ac:dyDescent="0.25">
      <c r="A5" t="s">
        <v>223</v>
      </c>
      <c r="B5">
        <v>9</v>
      </c>
      <c r="C5" t="s">
        <v>9</v>
      </c>
      <c r="D5">
        <v>10</v>
      </c>
      <c r="E5" t="s">
        <v>9</v>
      </c>
      <c r="F5">
        <v>10</v>
      </c>
      <c r="G5" t="s">
        <v>9</v>
      </c>
      <c r="H5">
        <v>2</v>
      </c>
      <c r="I5" t="s">
        <v>9</v>
      </c>
      <c r="J5">
        <v>2</v>
      </c>
      <c r="K5" t="s">
        <v>9</v>
      </c>
    </row>
    <row r="6" spans="1:11" x14ac:dyDescent="0.25">
      <c r="B6">
        <v>8</v>
      </c>
      <c r="C6" t="s">
        <v>7</v>
      </c>
      <c r="D6">
        <v>10</v>
      </c>
      <c r="E6" t="s">
        <v>7</v>
      </c>
      <c r="F6">
        <v>10</v>
      </c>
      <c r="G6" t="s">
        <v>7</v>
      </c>
      <c r="H6">
        <v>1</v>
      </c>
      <c r="I6" t="s">
        <v>7</v>
      </c>
      <c r="J6">
        <v>1</v>
      </c>
      <c r="K6" t="s">
        <v>7</v>
      </c>
    </row>
    <row r="7" spans="1:11" x14ac:dyDescent="0.25">
      <c r="A7" t="s">
        <v>224</v>
      </c>
      <c r="B7">
        <v>8</v>
      </c>
      <c r="C7" t="s">
        <v>9</v>
      </c>
      <c r="D7">
        <v>8</v>
      </c>
      <c r="E7" t="s">
        <v>9</v>
      </c>
      <c r="F7">
        <v>8</v>
      </c>
      <c r="G7" t="s">
        <v>9</v>
      </c>
      <c r="H7">
        <v>8</v>
      </c>
      <c r="I7" t="s">
        <v>9</v>
      </c>
      <c r="J7">
        <v>8</v>
      </c>
      <c r="K7" t="s">
        <v>9</v>
      </c>
    </row>
    <row r="8" spans="1:11" x14ac:dyDescent="0.25">
      <c r="C8" t="s">
        <v>7</v>
      </c>
      <c r="E8" t="s">
        <v>7</v>
      </c>
      <c r="G8" t="s">
        <v>7</v>
      </c>
      <c r="I8" t="s">
        <v>7</v>
      </c>
      <c r="K8" t="s">
        <v>7</v>
      </c>
    </row>
    <row r="10" spans="1:11" x14ac:dyDescent="0.25">
      <c r="A10" t="s">
        <v>225</v>
      </c>
      <c r="B10" s="97">
        <f>(B3+B4/12)*(B5+B6/12)</f>
        <v>235.2222222222222</v>
      </c>
      <c r="C10" t="s">
        <v>18</v>
      </c>
      <c r="D10" s="97">
        <f>(D3+D4/12)*(D5+D6/12)</f>
        <v>123.68055555555556</v>
      </c>
      <c r="E10" t="s">
        <v>18</v>
      </c>
      <c r="F10" s="97">
        <f>(F3+F4/12)*(F5+F6/12)</f>
        <v>123.68055555555556</v>
      </c>
      <c r="G10" t="s">
        <v>18</v>
      </c>
      <c r="H10" s="97">
        <f>(H3+H4/12)*(H5+H6/12)</f>
        <v>11.631944444444445</v>
      </c>
      <c r="I10" t="s">
        <v>18</v>
      </c>
      <c r="J10" s="97">
        <f>(J3+J4/12)*(J5+J6/12)</f>
        <v>11.458333333333334</v>
      </c>
      <c r="K10" t="s">
        <v>18</v>
      </c>
    </row>
    <row r="11" spans="1:11" x14ac:dyDescent="0.25">
      <c r="A11" t="s">
        <v>226</v>
      </c>
      <c r="B11">
        <f>(2*(B3+B4/12)+2*(B5+B6/12))*(B7+B8/12)</f>
        <v>544</v>
      </c>
      <c r="C11" t="s">
        <v>18</v>
      </c>
      <c r="D11">
        <f>(2*(D3+D4/12)+2*(D5+D6/12))*(D7+D8/12)</f>
        <v>356</v>
      </c>
      <c r="E11" t="s">
        <v>18</v>
      </c>
      <c r="F11">
        <f>(2*(F3+F4/12)+2*(F5+F6/12))*(F7+F8/12)</f>
        <v>356</v>
      </c>
      <c r="G11" t="s">
        <v>18</v>
      </c>
      <c r="H11" s="97">
        <f>(2*(H3+H4/12)+2*(H5+H6/12))*(H7+H8/12)</f>
        <v>122.66666666666666</v>
      </c>
      <c r="I11" t="s">
        <v>18</v>
      </c>
      <c r="J11" s="97">
        <f>(2*(J3+J4/12)+2*(J5+J6/12))*(J7+J8/12)</f>
        <v>121.33333333333334</v>
      </c>
      <c r="K11" t="s">
        <v>18</v>
      </c>
    </row>
    <row r="13" spans="1:11" x14ac:dyDescent="0.25">
      <c r="A13" t="s">
        <v>227</v>
      </c>
    </row>
    <row r="14" spans="1:11" x14ac:dyDescent="0.25">
      <c r="A14" t="s">
        <v>225</v>
      </c>
      <c r="B14" s="97">
        <f>B10+D10+F10+H10+J10</f>
        <v>505.67361111111109</v>
      </c>
      <c r="C14" t="s">
        <v>18</v>
      </c>
    </row>
    <row r="15" spans="1:11" x14ac:dyDescent="0.25">
      <c r="A15" t="s">
        <v>226</v>
      </c>
      <c r="B15" s="97">
        <f>B11+D11+F11+H11+J11</f>
        <v>1500</v>
      </c>
      <c r="C15" t="s">
        <v>18</v>
      </c>
    </row>
  </sheetData>
  <mergeCells count="5">
    <mergeCell ref="B2:C2"/>
    <mergeCell ref="D2:E2"/>
    <mergeCell ref="F2:G2"/>
    <mergeCell ref="J2:K2"/>
    <mergeCell ref="H2:I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9" sqref="E9"/>
    </sheetView>
  </sheetViews>
  <sheetFormatPr defaultRowHeight="15" x14ac:dyDescent="0.25"/>
  <cols>
    <col min="1" max="1" width="13.140625" customWidth="1"/>
  </cols>
  <sheetData>
    <row r="1" spans="1:3" x14ac:dyDescent="0.25">
      <c r="A1" t="s">
        <v>237</v>
      </c>
    </row>
    <row r="2" spans="1:3" x14ac:dyDescent="0.25">
      <c r="A2" t="s">
        <v>22</v>
      </c>
      <c r="C2" t="s">
        <v>9</v>
      </c>
    </row>
    <row r="3" spans="1:3" x14ac:dyDescent="0.25">
      <c r="B3">
        <v>48</v>
      </c>
      <c r="C3" t="s">
        <v>7</v>
      </c>
    </row>
    <row r="4" spans="1:3" x14ac:dyDescent="0.25">
      <c r="A4" t="s">
        <v>23</v>
      </c>
      <c r="C4" t="s">
        <v>9</v>
      </c>
    </row>
    <row r="5" spans="1:3" x14ac:dyDescent="0.25">
      <c r="B5">
        <v>30</v>
      </c>
      <c r="C5" t="s">
        <v>7</v>
      </c>
    </row>
    <row r="6" spans="1:3" x14ac:dyDescent="0.25">
      <c r="A6" t="s">
        <v>234</v>
      </c>
      <c r="B6">
        <v>7.75</v>
      </c>
      <c r="C6" t="s">
        <v>7</v>
      </c>
    </row>
    <row r="7" spans="1:3" x14ac:dyDescent="0.25">
      <c r="A7" t="s">
        <v>235</v>
      </c>
      <c r="B7">
        <v>0.25</v>
      </c>
      <c r="C7" t="s">
        <v>7</v>
      </c>
    </row>
    <row r="9" spans="1:3" x14ac:dyDescent="0.25">
      <c r="A9" t="s">
        <v>236</v>
      </c>
      <c r="B9">
        <f>ROUNDUP((B4*12+B5)/(B6+B7),0)*ROUNDUP((B2*12+B3)/(B6+B7),0)</f>
        <v>24</v>
      </c>
      <c r="C9" t="s">
        <v>17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G12" sqref="G12"/>
    </sheetView>
  </sheetViews>
  <sheetFormatPr defaultRowHeight="15" x14ac:dyDescent="0.25"/>
  <cols>
    <col min="1" max="1" width="13.28515625" customWidth="1"/>
    <col min="2" max="2" width="10" customWidth="1"/>
    <col min="3" max="3" width="6.140625" style="1" customWidth="1"/>
  </cols>
  <sheetData>
    <row r="1" spans="1:3" x14ac:dyDescent="0.25">
      <c r="A1" t="s">
        <v>241</v>
      </c>
    </row>
    <row r="2" spans="1:3" x14ac:dyDescent="0.25">
      <c r="A2" t="s">
        <v>37</v>
      </c>
      <c r="B2">
        <v>9723</v>
      </c>
      <c r="C2" s="1" t="s">
        <v>18</v>
      </c>
    </row>
    <row r="3" spans="1:3" x14ac:dyDescent="0.25">
      <c r="A3" t="s">
        <v>3</v>
      </c>
      <c r="B3">
        <v>3.5</v>
      </c>
      <c r="C3" s="1" t="s">
        <v>7</v>
      </c>
    </row>
    <row r="4" spans="1:3" x14ac:dyDescent="0.25">
      <c r="A4" t="s">
        <v>238</v>
      </c>
      <c r="B4">
        <v>150</v>
      </c>
      <c r="C4" s="1" t="s">
        <v>239</v>
      </c>
    </row>
    <row r="6" spans="1:3" x14ac:dyDescent="0.25">
      <c r="A6" t="s">
        <v>68</v>
      </c>
      <c r="B6" s="95">
        <f>B2*(B3/12)*B4/2000</f>
        <v>212.69062500000001</v>
      </c>
      <c r="C6" s="1" t="s">
        <v>240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sqref="A1:C9"/>
    </sheetView>
  </sheetViews>
  <sheetFormatPr defaultRowHeight="15" x14ac:dyDescent="0.25"/>
  <sheetData>
    <row r="1" spans="1:3" x14ac:dyDescent="0.25">
      <c r="A1" s="6" t="s">
        <v>242</v>
      </c>
      <c r="B1" s="7">
        <v>150</v>
      </c>
      <c r="C1" s="99" t="s">
        <v>9</v>
      </c>
    </row>
    <row r="2" spans="1:3" x14ac:dyDescent="0.25">
      <c r="A2" s="8" t="s">
        <v>243</v>
      </c>
      <c r="B2" s="100">
        <v>2</v>
      </c>
      <c r="C2" s="9" t="s">
        <v>9</v>
      </c>
    </row>
    <row r="3" spans="1:3" x14ac:dyDescent="0.25">
      <c r="A3" s="8" t="s">
        <v>244</v>
      </c>
      <c r="B3" s="4">
        <v>7.82</v>
      </c>
      <c r="C3" s="9" t="s">
        <v>9</v>
      </c>
    </row>
    <row r="4" spans="1:3" x14ac:dyDescent="0.25">
      <c r="A4" s="8" t="s">
        <v>245</v>
      </c>
      <c r="B4" s="4">
        <v>3.33</v>
      </c>
      <c r="C4" s="9" t="s">
        <v>9</v>
      </c>
    </row>
    <row r="5" spans="1:3" x14ac:dyDescent="0.25">
      <c r="A5" s="8" t="s">
        <v>246</v>
      </c>
      <c r="B5" s="100">
        <v>3</v>
      </c>
      <c r="C5" s="9" t="s">
        <v>9</v>
      </c>
    </row>
    <row r="6" spans="1:3" x14ac:dyDescent="0.25">
      <c r="A6" s="22" t="s">
        <v>247</v>
      </c>
      <c r="B6" s="5">
        <v>0.75</v>
      </c>
      <c r="C6" s="101" t="s">
        <v>248</v>
      </c>
    </row>
    <row r="7" spans="1:3" x14ac:dyDescent="0.25">
      <c r="A7" s="8"/>
      <c r="B7" s="4"/>
      <c r="C7" s="9"/>
    </row>
    <row r="8" spans="1:3" ht="15.75" thickBot="1" x14ac:dyDescent="0.3">
      <c r="A8" s="11" t="s">
        <v>16</v>
      </c>
      <c r="B8" s="102">
        <f>B1*(B2*B3+IF(B5&gt;B3,0,B6*(B3-B5)^2)+B2*B4+IF(B5&gt;B4,0,B6*(B4-B5)^2))/(2*27)</f>
        <v>110.57215277777777</v>
      </c>
      <c r="C8" s="13" t="s">
        <v>10</v>
      </c>
    </row>
    <row r="9" spans="1:3" x14ac:dyDescent="0.25">
      <c r="C9" s="98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6"/>
    </sheetView>
  </sheetViews>
  <sheetFormatPr defaultRowHeight="15" x14ac:dyDescent="0.25"/>
  <sheetData>
    <row r="1" spans="1:3" x14ac:dyDescent="0.25">
      <c r="A1" s="6" t="s">
        <v>249</v>
      </c>
      <c r="B1" s="103">
        <v>150</v>
      </c>
      <c r="C1" s="99" t="s">
        <v>9</v>
      </c>
    </row>
    <row r="2" spans="1:3" x14ac:dyDescent="0.25">
      <c r="A2" s="8" t="s">
        <v>243</v>
      </c>
      <c r="B2" s="104">
        <v>2</v>
      </c>
      <c r="C2" s="9" t="s">
        <v>9</v>
      </c>
    </row>
    <row r="3" spans="1:3" x14ac:dyDescent="0.25">
      <c r="A3" s="8" t="s">
        <v>244</v>
      </c>
      <c r="B3" s="104">
        <v>7.82</v>
      </c>
      <c r="C3" s="9" t="s">
        <v>9</v>
      </c>
    </row>
    <row r="4" spans="1:3" x14ac:dyDescent="0.25">
      <c r="A4" s="8" t="s">
        <v>245</v>
      </c>
      <c r="B4" s="104">
        <v>3.33</v>
      </c>
      <c r="C4" s="9" t="s">
        <v>9</v>
      </c>
    </row>
    <row r="5" spans="1:3" x14ac:dyDescent="0.25">
      <c r="A5" s="8" t="s">
        <v>250</v>
      </c>
      <c r="B5" s="104">
        <v>3</v>
      </c>
      <c r="C5" s="9" t="s">
        <v>9</v>
      </c>
    </row>
    <row r="6" spans="1:3" x14ac:dyDescent="0.25">
      <c r="A6" s="22" t="s">
        <v>247</v>
      </c>
      <c r="B6" s="105">
        <v>0.75</v>
      </c>
      <c r="C6" s="101" t="s">
        <v>248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6"/>
    </sheetView>
  </sheetViews>
  <sheetFormatPr defaultRowHeight="15" x14ac:dyDescent="0.25"/>
  <cols>
    <col min="1" max="1" width="25" customWidth="1"/>
  </cols>
  <sheetData>
    <row r="1" spans="1:3" x14ac:dyDescent="0.25">
      <c r="A1" s="6" t="s">
        <v>249</v>
      </c>
      <c r="B1" s="7">
        <v>45</v>
      </c>
      <c r="C1" s="99" t="s">
        <v>9</v>
      </c>
    </row>
    <row r="2" spans="1:3" x14ac:dyDescent="0.25">
      <c r="A2" s="8" t="s">
        <v>243</v>
      </c>
      <c r="B2" s="4">
        <v>2</v>
      </c>
      <c r="C2" s="9" t="s">
        <v>9</v>
      </c>
    </row>
    <row r="3" spans="1:3" x14ac:dyDescent="0.25">
      <c r="A3" s="8" t="s">
        <v>244</v>
      </c>
      <c r="B3" s="4">
        <v>3</v>
      </c>
      <c r="C3" s="9" t="s">
        <v>9</v>
      </c>
    </row>
    <row r="4" spans="1:3" x14ac:dyDescent="0.25">
      <c r="A4" s="8" t="s">
        <v>245</v>
      </c>
      <c r="B4" s="4">
        <v>3</v>
      </c>
      <c r="C4" s="9" t="s">
        <v>9</v>
      </c>
    </row>
    <row r="5" spans="1:3" x14ac:dyDescent="0.25">
      <c r="A5" s="8" t="s">
        <v>246</v>
      </c>
      <c r="B5" s="4">
        <v>3</v>
      </c>
      <c r="C5" s="9" t="s">
        <v>9</v>
      </c>
    </row>
    <row r="6" spans="1:3" x14ac:dyDescent="0.25">
      <c r="A6" s="22" t="s">
        <v>247</v>
      </c>
      <c r="B6" s="5">
        <v>0</v>
      </c>
      <c r="C6" s="101" t="s">
        <v>248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opLeftCell="A2" workbookViewId="0">
      <selection activeCell="E10" sqref="E10"/>
    </sheetView>
  </sheetViews>
  <sheetFormatPr defaultRowHeight="15" x14ac:dyDescent="0.25"/>
  <cols>
    <col min="1" max="1" width="24.140625" customWidth="1"/>
  </cols>
  <sheetData>
    <row r="1" spans="1:3" x14ac:dyDescent="0.25">
      <c r="A1" s="6" t="s">
        <v>251</v>
      </c>
      <c r="B1" s="106">
        <v>2</v>
      </c>
      <c r="C1" s="99" t="s">
        <v>9</v>
      </c>
    </row>
    <row r="2" spans="1:3" x14ac:dyDescent="0.25">
      <c r="A2" s="8" t="s">
        <v>252</v>
      </c>
      <c r="B2" s="104">
        <v>1</v>
      </c>
      <c r="C2" s="9" t="s">
        <v>9</v>
      </c>
    </row>
    <row r="3" spans="1:3" x14ac:dyDescent="0.25">
      <c r="A3" s="8" t="s">
        <v>253</v>
      </c>
      <c r="B3" s="104">
        <v>6</v>
      </c>
      <c r="C3" s="9" t="s">
        <v>7</v>
      </c>
    </row>
    <row r="4" spans="1:3" x14ac:dyDescent="0.25">
      <c r="A4" s="8" t="s">
        <v>254</v>
      </c>
      <c r="B4" s="104">
        <v>11</v>
      </c>
      <c r="C4" s="9" t="s">
        <v>7</v>
      </c>
    </row>
    <row r="5" spans="1:3" x14ac:dyDescent="0.25">
      <c r="A5" s="22" t="s">
        <v>255</v>
      </c>
      <c r="B5" s="107">
        <v>150</v>
      </c>
      <c r="C5" s="101" t="s">
        <v>9</v>
      </c>
    </row>
    <row r="6" spans="1:3" x14ac:dyDescent="0.25">
      <c r="A6" s="8"/>
      <c r="B6" s="108"/>
      <c r="C6" s="9"/>
    </row>
    <row r="7" spans="1:3" x14ac:dyDescent="0.25">
      <c r="A7" s="8" t="s">
        <v>256</v>
      </c>
      <c r="B7" s="104">
        <f>ACOS(1-2*B3/B4)</f>
        <v>1.6618311048323116</v>
      </c>
      <c r="C7" s="9" t="s">
        <v>257</v>
      </c>
    </row>
    <row r="8" spans="1:3" ht="15.75" thickBot="1" x14ac:dyDescent="0.3">
      <c r="A8" s="11" t="s">
        <v>16</v>
      </c>
      <c r="B8" s="109">
        <f>(B1*B2-(B7-SIN(B7)*COS(B7))*(B4/12)^2/4)*B5/27</f>
        <v>9.066010659386448</v>
      </c>
      <c r="C8" s="13" t="s">
        <v>10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F7" sqref="F7"/>
    </sheetView>
  </sheetViews>
  <sheetFormatPr defaultRowHeight="15" x14ac:dyDescent="0.25"/>
  <cols>
    <col min="1" max="1" width="16.28515625" customWidth="1"/>
  </cols>
  <sheetData>
    <row r="1" spans="1:4" ht="30.75" customHeight="1" x14ac:dyDescent="0.25">
      <c r="A1" s="157" t="s">
        <v>261</v>
      </c>
      <c r="B1" s="157"/>
      <c r="C1" s="157"/>
      <c r="D1" s="157"/>
    </row>
    <row r="2" spans="1:4" x14ac:dyDescent="0.25">
      <c r="A2" t="s">
        <v>258</v>
      </c>
      <c r="B2">
        <v>2</v>
      </c>
      <c r="C2" t="s">
        <v>9</v>
      </c>
    </row>
    <row r="3" spans="1:4" x14ac:dyDescent="0.25">
      <c r="A3" t="s">
        <v>259</v>
      </c>
      <c r="B3">
        <v>2</v>
      </c>
      <c r="C3" t="s">
        <v>9</v>
      </c>
    </row>
    <row r="4" spans="1:4" x14ac:dyDescent="0.25">
      <c r="A4" t="s">
        <v>260</v>
      </c>
      <c r="B4">
        <v>11</v>
      </c>
      <c r="C4" t="s">
        <v>7</v>
      </c>
    </row>
    <row r="5" spans="1:4" x14ac:dyDescent="0.25">
      <c r="A5" t="s">
        <v>255</v>
      </c>
      <c r="B5">
        <v>150</v>
      </c>
      <c r="C5" t="s">
        <v>9</v>
      </c>
    </row>
    <row r="6" spans="1:4" x14ac:dyDescent="0.25">
      <c r="A6" s="3"/>
      <c r="B6" s="3"/>
      <c r="C6" s="3"/>
    </row>
    <row r="7" spans="1:4" x14ac:dyDescent="0.25">
      <c r="A7" t="s">
        <v>16</v>
      </c>
      <c r="B7" s="96">
        <f>IF(B4/12&gt;B2,"error",IF(B4/12&gt;B3,"ERROR",(B2*B3-PI()*(B4/12)^2/4)*B5/27))</f>
        <v>18.555818758831354</v>
      </c>
      <c r="C7" t="s">
        <v>10</v>
      </c>
    </row>
  </sheetData>
  <mergeCells count="1">
    <mergeCell ref="A1:D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9" sqref="E29"/>
    </sheetView>
  </sheetViews>
  <sheetFormatPr defaultRowHeight="15" x14ac:dyDescent="0.25"/>
  <cols>
    <col min="1" max="1" width="10.7109375" customWidth="1"/>
    <col min="2" max="2" width="6.5703125" customWidth="1"/>
    <col min="3" max="3" width="58" customWidth="1"/>
    <col min="4" max="4" width="12.5703125" customWidth="1"/>
    <col min="5" max="5" width="13.28515625" customWidth="1"/>
  </cols>
  <sheetData>
    <row r="1" spans="1:5" ht="46.5" customHeight="1" x14ac:dyDescent="0.85">
      <c r="A1" s="158" t="s">
        <v>262</v>
      </c>
      <c r="B1" s="159"/>
      <c r="C1" s="159"/>
      <c r="D1" s="159"/>
      <c r="E1" s="160"/>
    </row>
    <row r="2" spans="1:5" x14ac:dyDescent="0.25">
      <c r="A2" s="161" t="s">
        <v>263</v>
      </c>
      <c r="B2" s="162"/>
      <c r="C2" s="4"/>
      <c r="D2" s="4"/>
      <c r="E2" s="111"/>
    </row>
    <row r="3" spans="1:5" x14ac:dyDescent="0.25">
      <c r="A3" s="163"/>
      <c r="B3" s="164"/>
      <c r="C3" s="4"/>
      <c r="D3" s="4"/>
      <c r="E3" s="111"/>
    </row>
    <row r="4" spans="1:5" x14ac:dyDescent="0.25">
      <c r="A4" s="163"/>
      <c r="B4" s="164"/>
      <c r="C4" s="4"/>
      <c r="D4" s="4"/>
      <c r="E4" s="111"/>
    </row>
    <row r="5" spans="1:5" x14ac:dyDescent="0.25">
      <c r="A5" s="161" t="s">
        <v>264</v>
      </c>
      <c r="B5" s="162"/>
      <c r="C5" s="3"/>
      <c r="D5" s="3"/>
      <c r="E5" s="112"/>
    </row>
    <row r="6" spans="1:5" x14ac:dyDescent="0.25">
      <c r="A6" s="163"/>
      <c r="B6" s="164"/>
      <c r="C6" s="4"/>
      <c r="D6" s="4"/>
      <c r="E6" s="111"/>
    </row>
    <row r="7" spans="1:5" x14ac:dyDescent="0.25">
      <c r="A7" s="163"/>
      <c r="B7" s="164"/>
      <c r="C7" s="4"/>
      <c r="D7" s="4"/>
      <c r="E7" s="111"/>
    </row>
    <row r="8" spans="1:5" x14ac:dyDescent="0.25">
      <c r="A8" s="161" t="s">
        <v>275</v>
      </c>
      <c r="B8" s="162"/>
      <c r="C8" s="3"/>
      <c r="D8" s="3"/>
      <c r="E8" s="112"/>
    </row>
    <row r="9" spans="1:5" x14ac:dyDescent="0.25">
      <c r="A9" s="163"/>
      <c r="B9" s="164"/>
      <c r="C9" s="4"/>
      <c r="D9" s="4"/>
      <c r="E9" s="111"/>
    </row>
    <row r="10" spans="1:5" x14ac:dyDescent="0.25">
      <c r="A10" s="170"/>
      <c r="B10" s="171"/>
      <c r="C10" s="4"/>
      <c r="D10" s="4"/>
      <c r="E10" s="111"/>
    </row>
    <row r="11" spans="1:5" x14ac:dyDescent="0.25">
      <c r="A11" s="165" t="s">
        <v>54</v>
      </c>
      <c r="B11" s="166"/>
      <c r="C11" s="46" t="s">
        <v>265</v>
      </c>
      <c r="D11" s="124" t="s">
        <v>266</v>
      </c>
      <c r="E11" s="125" t="s">
        <v>267</v>
      </c>
    </row>
    <row r="12" spans="1:5" x14ac:dyDescent="0.25">
      <c r="A12" s="113"/>
      <c r="B12" s="4"/>
      <c r="C12" s="4"/>
      <c r="D12" s="4"/>
      <c r="E12" s="126">
        <f>A12*D12</f>
        <v>0</v>
      </c>
    </row>
    <row r="13" spans="1:5" x14ac:dyDescent="0.25">
      <c r="A13" s="113"/>
      <c r="B13" s="4"/>
      <c r="C13" s="4"/>
      <c r="D13" s="4"/>
      <c r="E13" s="126">
        <f t="shared" ref="E13:E31" si="0">A13*D13</f>
        <v>0</v>
      </c>
    </row>
    <row r="14" spans="1:5" x14ac:dyDescent="0.25">
      <c r="A14" s="113"/>
      <c r="B14" s="4"/>
      <c r="C14" s="4"/>
      <c r="D14" s="4"/>
      <c r="E14" s="126">
        <f t="shared" si="0"/>
        <v>0</v>
      </c>
    </row>
    <row r="15" spans="1:5" x14ac:dyDescent="0.25">
      <c r="A15" s="113"/>
      <c r="B15" s="4"/>
      <c r="C15" s="4"/>
      <c r="D15" s="4"/>
      <c r="E15" s="126">
        <f t="shared" si="0"/>
        <v>0</v>
      </c>
    </row>
    <row r="16" spans="1:5" x14ac:dyDescent="0.25">
      <c r="A16" s="113"/>
      <c r="B16" s="4"/>
      <c r="C16" s="4"/>
      <c r="D16" s="4"/>
      <c r="E16" s="126">
        <f t="shared" si="0"/>
        <v>0</v>
      </c>
    </row>
    <row r="17" spans="1:5" x14ac:dyDescent="0.25">
      <c r="A17" s="113"/>
      <c r="B17" s="4"/>
      <c r="C17" s="4"/>
      <c r="D17" s="4"/>
      <c r="E17" s="126">
        <f t="shared" si="0"/>
        <v>0</v>
      </c>
    </row>
    <row r="18" spans="1:5" x14ac:dyDescent="0.25">
      <c r="A18" s="113"/>
      <c r="B18" s="4"/>
      <c r="C18" s="4"/>
      <c r="D18" s="4"/>
      <c r="E18" s="126">
        <f t="shared" si="0"/>
        <v>0</v>
      </c>
    </row>
    <row r="19" spans="1:5" x14ac:dyDescent="0.25">
      <c r="A19" s="113"/>
      <c r="B19" s="4"/>
      <c r="C19" s="4"/>
      <c r="D19" s="4"/>
      <c r="E19" s="126">
        <f t="shared" si="0"/>
        <v>0</v>
      </c>
    </row>
    <row r="20" spans="1:5" x14ac:dyDescent="0.25">
      <c r="A20" s="113"/>
      <c r="B20" s="4"/>
      <c r="C20" s="4"/>
      <c r="D20" s="4"/>
      <c r="E20" s="126">
        <f t="shared" si="0"/>
        <v>0</v>
      </c>
    </row>
    <row r="21" spans="1:5" x14ac:dyDescent="0.25">
      <c r="A21" s="113"/>
      <c r="B21" s="4"/>
      <c r="C21" s="4"/>
      <c r="D21" s="4"/>
      <c r="E21" s="126">
        <f t="shared" si="0"/>
        <v>0</v>
      </c>
    </row>
    <row r="22" spans="1:5" x14ac:dyDescent="0.25">
      <c r="A22" s="113"/>
      <c r="B22" s="4"/>
      <c r="C22" s="4"/>
      <c r="D22" s="4"/>
      <c r="E22" s="126">
        <f>A22*D22</f>
        <v>0</v>
      </c>
    </row>
    <row r="23" spans="1:5" x14ac:dyDescent="0.25">
      <c r="A23" s="113"/>
      <c r="B23" s="4"/>
      <c r="C23" s="4"/>
      <c r="D23" s="4"/>
      <c r="E23" s="126">
        <f t="shared" si="0"/>
        <v>0</v>
      </c>
    </row>
    <row r="24" spans="1:5" x14ac:dyDescent="0.25">
      <c r="A24" s="113"/>
      <c r="B24" s="4"/>
      <c r="C24" s="4"/>
      <c r="D24" s="4"/>
      <c r="E24" s="126">
        <f t="shared" si="0"/>
        <v>0</v>
      </c>
    </row>
    <row r="25" spans="1:5" x14ac:dyDescent="0.25">
      <c r="A25" s="113"/>
      <c r="B25" s="4"/>
      <c r="C25" s="4"/>
      <c r="D25" s="4"/>
      <c r="E25" s="126">
        <f t="shared" si="0"/>
        <v>0</v>
      </c>
    </row>
    <row r="26" spans="1:5" x14ac:dyDescent="0.25">
      <c r="A26" s="113"/>
      <c r="B26" s="4"/>
      <c r="C26" s="4"/>
      <c r="D26" s="4"/>
      <c r="E26" s="126">
        <f t="shared" si="0"/>
        <v>0</v>
      </c>
    </row>
    <row r="27" spans="1:5" x14ac:dyDescent="0.25">
      <c r="A27" s="113"/>
      <c r="B27" s="4"/>
      <c r="C27" s="4"/>
      <c r="D27" s="4"/>
      <c r="E27" s="126">
        <f t="shared" si="0"/>
        <v>0</v>
      </c>
    </row>
    <row r="28" spans="1:5" x14ac:dyDescent="0.25">
      <c r="A28" s="113"/>
      <c r="B28" s="4"/>
      <c r="C28" s="4"/>
      <c r="D28" s="4"/>
      <c r="E28" s="126">
        <f t="shared" si="0"/>
        <v>0</v>
      </c>
    </row>
    <row r="29" spans="1:5" x14ac:dyDescent="0.25">
      <c r="A29" s="113"/>
      <c r="B29" s="4"/>
      <c r="C29" s="4"/>
      <c r="D29" s="4"/>
      <c r="E29" s="126">
        <f t="shared" si="0"/>
        <v>0</v>
      </c>
    </row>
    <row r="30" spans="1:5" x14ac:dyDescent="0.25">
      <c r="A30" s="113"/>
      <c r="B30" s="4"/>
      <c r="C30" s="4"/>
      <c r="D30" s="4"/>
      <c r="E30" s="126">
        <f t="shared" si="0"/>
        <v>0</v>
      </c>
    </row>
    <row r="31" spans="1:5" x14ac:dyDescent="0.25">
      <c r="A31" s="113"/>
      <c r="B31" s="4"/>
      <c r="C31" s="4"/>
      <c r="D31" s="4"/>
      <c r="E31" s="126">
        <f t="shared" si="0"/>
        <v>0</v>
      </c>
    </row>
    <row r="32" spans="1:5" x14ac:dyDescent="0.25">
      <c r="A32" s="116"/>
      <c r="B32" s="3"/>
      <c r="C32" s="117" t="s">
        <v>268</v>
      </c>
      <c r="D32" s="3"/>
      <c r="E32" s="127">
        <f>SUM(E12:E31)</f>
        <v>0</v>
      </c>
    </row>
    <row r="33" spans="1:5" x14ac:dyDescent="0.25">
      <c r="A33" s="113"/>
      <c r="B33" s="4"/>
      <c r="C33" s="118" t="s">
        <v>269</v>
      </c>
      <c r="D33" s="4"/>
      <c r="E33" s="126">
        <f>E32*D33</f>
        <v>0</v>
      </c>
    </row>
    <row r="34" spans="1:5" x14ac:dyDescent="0.25">
      <c r="A34" s="113"/>
      <c r="B34" s="4"/>
      <c r="C34" s="117" t="s">
        <v>268</v>
      </c>
      <c r="D34" s="3"/>
      <c r="E34" s="127">
        <f>E32+E33</f>
        <v>0</v>
      </c>
    </row>
    <row r="35" spans="1:5" x14ac:dyDescent="0.25">
      <c r="A35" s="113"/>
      <c r="B35" s="4"/>
      <c r="C35" s="120" t="s">
        <v>270</v>
      </c>
      <c r="D35" s="4"/>
      <c r="E35" s="128"/>
    </row>
    <row r="36" spans="1:5" x14ac:dyDescent="0.25">
      <c r="A36" s="113"/>
      <c r="B36" s="4"/>
      <c r="C36" s="117" t="s">
        <v>271</v>
      </c>
      <c r="D36" s="3"/>
      <c r="E36" s="127">
        <f>E34+E35</f>
        <v>0</v>
      </c>
    </row>
    <row r="37" spans="1:5" x14ac:dyDescent="0.25">
      <c r="A37" s="113"/>
      <c r="B37" s="4"/>
      <c r="C37" s="4"/>
      <c r="D37" s="4"/>
      <c r="E37" s="111"/>
    </row>
    <row r="38" spans="1:5" ht="29.25" customHeight="1" x14ac:dyDescent="0.25">
      <c r="A38" s="167" t="s">
        <v>272</v>
      </c>
      <c r="B38" s="168"/>
      <c r="C38" s="168"/>
      <c r="D38" s="168"/>
      <c r="E38" s="169"/>
    </row>
    <row r="39" spans="1:5" x14ac:dyDescent="0.25">
      <c r="A39" s="113"/>
      <c r="B39" s="4"/>
      <c r="C39" s="4"/>
      <c r="D39" s="4"/>
      <c r="E39" s="111"/>
    </row>
    <row r="40" spans="1:5" x14ac:dyDescent="0.25">
      <c r="A40" s="113"/>
      <c r="B40" s="118" t="s">
        <v>273</v>
      </c>
      <c r="C40" s="4"/>
      <c r="D40" s="118" t="s">
        <v>274</v>
      </c>
      <c r="E40" s="111"/>
    </row>
    <row r="41" spans="1:5" x14ac:dyDescent="0.25">
      <c r="A41" s="114"/>
      <c r="B41" s="5"/>
      <c r="C41" s="46"/>
      <c r="D41" s="5"/>
      <c r="E41" s="123"/>
    </row>
  </sheetData>
  <mergeCells count="6">
    <mergeCell ref="A1:E1"/>
    <mergeCell ref="A2:B4"/>
    <mergeCell ref="A5:B7"/>
    <mergeCell ref="A11:B11"/>
    <mergeCell ref="A38:E38"/>
    <mergeCell ref="A8:B10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H10" sqref="H10"/>
    </sheetView>
  </sheetViews>
  <sheetFormatPr defaultRowHeight="15" x14ac:dyDescent="0.25"/>
  <cols>
    <col min="2" max="2" width="12.7109375" customWidth="1"/>
    <col min="3" max="3" width="3.7109375" customWidth="1"/>
    <col min="4" max="4" width="10" customWidth="1"/>
    <col min="5" max="5" width="12.5703125" customWidth="1"/>
    <col min="6" max="6" width="5.140625" customWidth="1"/>
    <col min="7" max="7" width="20" customWidth="1"/>
    <col min="8" max="8" width="10.28515625" customWidth="1"/>
  </cols>
  <sheetData>
    <row r="1" spans="1:8" ht="30.75" customHeight="1" x14ac:dyDescent="0.45">
      <c r="A1" s="172" t="s">
        <v>284</v>
      </c>
      <c r="B1" s="173"/>
      <c r="C1" s="173"/>
      <c r="D1" s="173"/>
      <c r="E1" s="173"/>
      <c r="F1" s="173"/>
      <c r="G1" s="173"/>
      <c r="H1" s="174"/>
    </row>
    <row r="2" spans="1:8" x14ac:dyDescent="0.25">
      <c r="A2" s="70" t="s">
        <v>283</v>
      </c>
      <c r="B2" s="46" t="s">
        <v>282</v>
      </c>
      <c r="C2" s="46"/>
      <c r="D2" s="46" t="s">
        <v>283</v>
      </c>
      <c r="E2" s="123" t="s">
        <v>282</v>
      </c>
      <c r="F2" s="116"/>
      <c r="G2" s="3" t="s">
        <v>276</v>
      </c>
      <c r="H2" s="112">
        <v>0.9</v>
      </c>
    </row>
    <row r="3" spans="1:8" x14ac:dyDescent="0.25">
      <c r="A3" s="121">
        <v>1</v>
      </c>
      <c r="B3" s="4"/>
      <c r="C3" s="4"/>
      <c r="D3" s="122">
        <v>16</v>
      </c>
      <c r="E3" s="111"/>
      <c r="F3" s="113"/>
      <c r="G3" s="4" t="s">
        <v>277</v>
      </c>
      <c r="H3" s="111">
        <v>2</v>
      </c>
    </row>
    <row r="4" spans="1:8" x14ac:dyDescent="0.25">
      <c r="A4" s="121">
        <v>2</v>
      </c>
      <c r="B4" s="4"/>
      <c r="C4" s="4"/>
      <c r="D4" s="122">
        <v>17</v>
      </c>
      <c r="E4" s="111"/>
      <c r="F4" s="113"/>
      <c r="G4" s="4" t="s">
        <v>278</v>
      </c>
      <c r="H4" s="111">
        <v>50</v>
      </c>
    </row>
    <row r="5" spans="1:8" x14ac:dyDescent="0.25">
      <c r="A5" s="121">
        <v>3</v>
      </c>
      <c r="B5" s="4"/>
      <c r="C5" s="4"/>
      <c r="D5" s="122">
        <v>18</v>
      </c>
      <c r="E5" s="111"/>
      <c r="F5" s="114"/>
      <c r="G5" s="5" t="s">
        <v>279</v>
      </c>
      <c r="H5" s="115">
        <v>32</v>
      </c>
    </row>
    <row r="6" spans="1:8" x14ac:dyDescent="0.25">
      <c r="A6" s="121">
        <v>4</v>
      </c>
      <c r="B6" s="119"/>
      <c r="C6" s="4"/>
      <c r="D6" s="122">
        <v>19</v>
      </c>
      <c r="E6" s="111"/>
      <c r="F6" s="116"/>
      <c r="G6" s="3"/>
      <c r="H6" s="112"/>
    </row>
    <row r="7" spans="1:8" x14ac:dyDescent="0.25">
      <c r="A7" s="121">
        <v>5</v>
      </c>
      <c r="B7" s="119"/>
      <c r="C7" s="4"/>
      <c r="D7" s="122">
        <v>20</v>
      </c>
      <c r="E7" s="111"/>
      <c r="F7" s="113"/>
      <c r="G7" s="119" t="s">
        <v>280</v>
      </c>
      <c r="H7" s="111" t="e">
        <f>AVERAGE(B3:B17,E3:E17)</f>
        <v>#DIV/0!</v>
      </c>
    </row>
    <row r="8" spans="1:8" x14ac:dyDescent="0.25">
      <c r="A8" s="121">
        <v>6</v>
      </c>
      <c r="B8" s="119"/>
      <c r="C8" s="4"/>
      <c r="D8" s="122">
        <v>21</v>
      </c>
      <c r="E8" s="111"/>
      <c r="F8" s="114"/>
      <c r="G8" s="5" t="s">
        <v>281</v>
      </c>
      <c r="H8" s="115" t="e">
        <f>H7*H2*H3/(H4*H5)</f>
        <v>#DIV/0!</v>
      </c>
    </row>
    <row r="9" spans="1:8" x14ac:dyDescent="0.25">
      <c r="A9" s="121">
        <v>7</v>
      </c>
      <c r="B9" s="4"/>
      <c r="C9" s="4"/>
      <c r="D9" s="122">
        <v>22</v>
      </c>
      <c r="E9" s="111"/>
      <c r="F9" s="4"/>
      <c r="G9" s="4"/>
      <c r="H9" s="111"/>
    </row>
    <row r="10" spans="1:8" x14ac:dyDescent="0.25">
      <c r="A10" s="121">
        <v>8</v>
      </c>
      <c r="B10" s="4"/>
      <c r="C10" s="4"/>
      <c r="D10" s="122">
        <v>23</v>
      </c>
      <c r="E10" s="111"/>
      <c r="F10" s="4"/>
      <c r="G10" s="4"/>
      <c r="H10" s="111"/>
    </row>
    <row r="11" spans="1:8" x14ac:dyDescent="0.25">
      <c r="A11" s="121">
        <v>9</v>
      </c>
      <c r="B11" s="4"/>
      <c r="C11" s="4"/>
      <c r="D11" s="122">
        <v>24</v>
      </c>
      <c r="E11" s="111"/>
      <c r="F11" s="4"/>
      <c r="G11" s="4"/>
      <c r="H11" s="111"/>
    </row>
    <row r="12" spans="1:8" x14ac:dyDescent="0.25">
      <c r="A12" s="121">
        <v>10</v>
      </c>
      <c r="B12" s="4"/>
      <c r="C12" s="4"/>
      <c r="D12" s="122">
        <v>25</v>
      </c>
      <c r="E12" s="111"/>
      <c r="F12" s="4"/>
      <c r="G12" s="4"/>
      <c r="H12" s="111"/>
    </row>
    <row r="13" spans="1:8" x14ac:dyDescent="0.25">
      <c r="A13" s="121">
        <v>11</v>
      </c>
      <c r="B13" s="4"/>
      <c r="C13" s="4"/>
      <c r="D13" s="122">
        <v>26</v>
      </c>
      <c r="E13" s="111"/>
      <c r="F13" s="4"/>
      <c r="G13" s="4"/>
      <c r="H13" s="111"/>
    </row>
    <row r="14" spans="1:8" x14ac:dyDescent="0.25">
      <c r="A14" s="121">
        <v>12</v>
      </c>
      <c r="B14" s="4"/>
      <c r="C14" s="4"/>
      <c r="D14" s="122">
        <v>27</v>
      </c>
      <c r="E14" s="111"/>
      <c r="F14" s="4"/>
      <c r="G14" s="4"/>
      <c r="H14" s="111"/>
    </row>
    <row r="15" spans="1:8" x14ac:dyDescent="0.25">
      <c r="A15" s="121">
        <v>13</v>
      </c>
      <c r="B15" s="4"/>
      <c r="C15" s="4"/>
      <c r="D15" s="122">
        <v>28</v>
      </c>
      <c r="E15" s="111"/>
      <c r="F15" s="4"/>
      <c r="G15" s="4"/>
      <c r="H15" s="111"/>
    </row>
    <row r="16" spans="1:8" x14ac:dyDescent="0.25">
      <c r="A16" s="121">
        <v>14</v>
      </c>
      <c r="B16" s="4"/>
      <c r="C16" s="4"/>
      <c r="D16" s="122">
        <v>29</v>
      </c>
      <c r="E16" s="111"/>
      <c r="F16" s="4"/>
      <c r="G16" s="4"/>
      <c r="H16" s="111"/>
    </row>
    <row r="17" spans="1:8" x14ac:dyDescent="0.25">
      <c r="A17" s="129">
        <v>15</v>
      </c>
      <c r="B17" s="5"/>
      <c r="C17" s="5"/>
      <c r="D17" s="130">
        <v>30</v>
      </c>
      <c r="E17" s="115"/>
      <c r="F17" s="5"/>
      <c r="G17" s="5"/>
      <c r="H17" s="115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G8" sqref="G8"/>
    </sheetView>
  </sheetViews>
  <sheetFormatPr defaultRowHeight="15" x14ac:dyDescent="0.25"/>
  <cols>
    <col min="1" max="1" width="24.5703125" customWidth="1"/>
    <col min="2" max="2" width="13" customWidth="1"/>
    <col min="3" max="3" width="13.42578125" customWidth="1"/>
  </cols>
  <sheetData>
    <row r="1" spans="1:3" ht="30.75" customHeight="1" x14ac:dyDescent="0.35">
      <c r="A1" s="175" t="s">
        <v>285</v>
      </c>
      <c r="B1" s="176"/>
      <c r="C1" s="177"/>
    </row>
    <row r="2" spans="1:3" x14ac:dyDescent="0.25">
      <c r="A2" s="116" t="s">
        <v>286</v>
      </c>
      <c r="B2" s="3"/>
      <c r="C2" s="63" t="s">
        <v>293</v>
      </c>
    </row>
    <row r="3" spans="1:3" x14ac:dyDescent="0.25">
      <c r="A3" s="113" t="s">
        <v>287</v>
      </c>
      <c r="B3" s="4"/>
      <c r="C3" s="131" t="s">
        <v>294</v>
      </c>
    </row>
    <row r="4" spans="1:3" x14ac:dyDescent="0.25">
      <c r="A4" s="113" t="s">
        <v>288</v>
      </c>
      <c r="B4" s="4"/>
      <c r="C4" s="131" t="s">
        <v>17</v>
      </c>
    </row>
    <row r="5" spans="1:3" x14ac:dyDescent="0.25">
      <c r="A5" s="113" t="s">
        <v>289</v>
      </c>
      <c r="B5" s="119"/>
      <c r="C5" s="131" t="s">
        <v>295</v>
      </c>
    </row>
    <row r="6" spans="1:3" x14ac:dyDescent="0.25">
      <c r="A6" s="113" t="s">
        <v>277</v>
      </c>
      <c r="B6" s="119"/>
      <c r="C6" s="131" t="s">
        <v>296</v>
      </c>
    </row>
    <row r="7" spans="1:3" x14ac:dyDescent="0.25">
      <c r="A7" s="113" t="s">
        <v>290</v>
      </c>
      <c r="B7" s="119"/>
      <c r="C7" s="131" t="s">
        <v>297</v>
      </c>
    </row>
    <row r="8" spans="1:3" x14ac:dyDescent="0.25">
      <c r="A8" s="70" t="s">
        <v>291</v>
      </c>
      <c r="B8" s="132" t="e">
        <f>(B2/B3+B4*B5)*B6/(B2*B7)</f>
        <v>#DIV/0!</v>
      </c>
      <c r="C8" s="29" t="s">
        <v>292</v>
      </c>
    </row>
  </sheetData>
  <mergeCells count="1">
    <mergeCell ref="A1:C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F27" sqref="F27"/>
    </sheetView>
  </sheetViews>
  <sheetFormatPr defaultRowHeight="15" x14ac:dyDescent="0.25"/>
  <cols>
    <col min="1" max="1" width="39" customWidth="1"/>
    <col min="2" max="2" width="14.140625" customWidth="1"/>
    <col min="3" max="3" width="16.140625" customWidth="1"/>
    <col min="4" max="4" width="14" customWidth="1"/>
    <col min="5" max="5" width="18.140625" customWidth="1"/>
    <col min="6" max="6" width="16.28515625" customWidth="1"/>
  </cols>
  <sheetData>
    <row r="1" spans="1:6" ht="31.5" customHeight="1" thickBot="1" x14ac:dyDescent="0.45">
      <c r="A1" s="178" t="s">
        <v>298</v>
      </c>
      <c r="B1" s="179"/>
      <c r="C1" s="179"/>
      <c r="D1" s="179"/>
      <c r="E1" s="179"/>
      <c r="F1" s="180"/>
    </row>
    <row r="2" spans="1:6" x14ac:dyDescent="0.25">
      <c r="A2" s="8"/>
      <c r="B2" s="4" t="s">
        <v>299</v>
      </c>
      <c r="C2" s="4" t="s">
        <v>301</v>
      </c>
      <c r="D2" s="4" t="s">
        <v>200</v>
      </c>
      <c r="E2" s="4"/>
      <c r="F2" s="133"/>
    </row>
    <row r="3" spans="1:6" x14ac:dyDescent="0.25">
      <c r="A3" s="8"/>
      <c r="B3" s="4" t="s">
        <v>300</v>
      </c>
      <c r="C3" s="4" t="s">
        <v>302</v>
      </c>
      <c r="D3" s="4" t="s">
        <v>303</v>
      </c>
      <c r="E3" s="119" t="s">
        <v>304</v>
      </c>
      <c r="F3" s="133"/>
    </row>
    <row r="4" spans="1:6" x14ac:dyDescent="0.25">
      <c r="A4" s="10" t="s">
        <v>305</v>
      </c>
      <c r="B4" s="3">
        <v>50</v>
      </c>
      <c r="C4" s="3">
        <v>52</v>
      </c>
      <c r="D4" s="135">
        <v>19</v>
      </c>
      <c r="E4" s="137">
        <f>IF(B4&gt;40,40*D4+(B4-40)*D4*1.5,B4*D4)*C4</f>
        <v>54340</v>
      </c>
      <c r="F4" s="133"/>
    </row>
    <row r="5" spans="1:6" x14ac:dyDescent="0.25">
      <c r="A5" s="4" t="s">
        <v>306</v>
      </c>
      <c r="B5" s="4"/>
      <c r="C5" s="4"/>
      <c r="D5" s="136"/>
      <c r="E5" s="139">
        <f t="shared" ref="E5:E8" si="0">IF(B5&gt;40,40*D5+(B5-40)*D5*1.5,B5*D5)*C5</f>
        <v>0</v>
      </c>
      <c r="F5" s="133"/>
    </row>
    <row r="6" spans="1:6" x14ac:dyDescent="0.25">
      <c r="A6" s="4" t="s">
        <v>307</v>
      </c>
      <c r="B6" s="4"/>
      <c r="C6" s="4"/>
      <c r="D6" s="136"/>
      <c r="E6" s="139">
        <f t="shared" si="0"/>
        <v>0</v>
      </c>
      <c r="F6" s="133"/>
    </row>
    <row r="7" spans="1:6" x14ac:dyDescent="0.25">
      <c r="A7" s="4" t="s">
        <v>308</v>
      </c>
      <c r="B7" s="4"/>
      <c r="C7" s="4"/>
      <c r="D7" s="136"/>
      <c r="E7" s="139">
        <f t="shared" si="0"/>
        <v>0</v>
      </c>
      <c r="F7" s="133"/>
    </row>
    <row r="8" spans="1:6" x14ac:dyDescent="0.25">
      <c r="A8" s="8" t="s">
        <v>309</v>
      </c>
      <c r="B8" s="4">
        <v>40</v>
      </c>
      <c r="C8" s="4">
        <v>3</v>
      </c>
      <c r="D8" s="136">
        <v>19</v>
      </c>
      <c r="E8" s="139">
        <f t="shared" si="0"/>
        <v>2280</v>
      </c>
      <c r="F8" s="133"/>
    </row>
    <row r="9" spans="1:6" ht="15.75" thickBot="1" x14ac:dyDescent="0.3">
      <c r="A9" s="8" t="s">
        <v>310</v>
      </c>
      <c r="B9" s="4"/>
      <c r="C9" s="4"/>
      <c r="D9" s="136"/>
      <c r="E9" s="139">
        <v>6000</v>
      </c>
      <c r="F9" s="133"/>
    </row>
    <row r="10" spans="1:6" x14ac:dyDescent="0.25">
      <c r="A10" s="6" t="s">
        <v>311</v>
      </c>
      <c r="B10" s="7"/>
      <c r="C10" s="7"/>
      <c r="D10" s="7"/>
      <c r="E10" s="7"/>
      <c r="F10" s="142">
        <f>B4*C4+B5*C5+B6*C6+B7*C7</f>
        <v>2600</v>
      </c>
    </row>
    <row r="11" spans="1:6" x14ac:dyDescent="0.25">
      <c r="A11" s="8" t="s">
        <v>304</v>
      </c>
      <c r="B11" s="4"/>
      <c r="C11" s="4"/>
      <c r="D11" s="4"/>
      <c r="E11" s="4"/>
      <c r="F11" s="141">
        <f>SUM(E4:E9)</f>
        <v>62620</v>
      </c>
    </row>
    <row r="12" spans="1:6" x14ac:dyDescent="0.25">
      <c r="A12" s="8" t="s">
        <v>312</v>
      </c>
      <c r="B12" s="138">
        <v>20</v>
      </c>
      <c r="C12" s="122" t="s">
        <v>334</v>
      </c>
      <c r="D12" s="4">
        <v>12</v>
      </c>
      <c r="E12" s="4" t="s">
        <v>335</v>
      </c>
      <c r="F12" s="133">
        <f>B12*D12</f>
        <v>240</v>
      </c>
    </row>
    <row r="13" spans="1:6" x14ac:dyDescent="0.25">
      <c r="A13" s="8" t="s">
        <v>313</v>
      </c>
      <c r="B13" s="138">
        <v>150</v>
      </c>
      <c r="C13" s="122" t="s">
        <v>334</v>
      </c>
      <c r="D13" s="4">
        <v>12</v>
      </c>
      <c r="E13" s="4" t="s">
        <v>335</v>
      </c>
      <c r="F13" s="133">
        <f>B13*D13</f>
        <v>1800</v>
      </c>
    </row>
    <row r="14" spans="1:6" ht="15.75" thickBot="1" x14ac:dyDescent="0.3">
      <c r="A14" s="80" t="s">
        <v>314</v>
      </c>
      <c r="B14" s="81"/>
      <c r="C14" s="81"/>
      <c r="D14" s="81"/>
      <c r="E14" s="81"/>
      <c r="F14" s="143">
        <f>F11+F12-F13</f>
        <v>61060</v>
      </c>
    </row>
    <row r="15" spans="1:6" ht="15.75" thickBot="1" x14ac:dyDescent="0.3">
      <c r="A15" s="23"/>
      <c r="B15" s="24"/>
      <c r="C15" s="24"/>
      <c r="D15" s="24"/>
      <c r="E15" s="24"/>
      <c r="F15" s="134"/>
    </row>
    <row r="16" spans="1:6" x14ac:dyDescent="0.25">
      <c r="A16" s="8" t="s">
        <v>315</v>
      </c>
      <c r="B16" s="4"/>
      <c r="C16" s="4"/>
      <c r="D16" s="4"/>
      <c r="E16" s="4"/>
      <c r="F16" s="141">
        <f>F11+F12</f>
        <v>62860</v>
      </c>
    </row>
    <row r="17" spans="1:6" x14ac:dyDescent="0.25">
      <c r="A17" s="8" t="s">
        <v>316</v>
      </c>
      <c r="B17" s="146">
        <v>6.2E-2</v>
      </c>
      <c r="C17" s="4" t="s">
        <v>325</v>
      </c>
      <c r="D17" s="148">
        <v>106800</v>
      </c>
      <c r="E17" s="4" t="s">
        <v>327</v>
      </c>
      <c r="F17" s="141">
        <f>IF(D17="",F4*B17,IF(F14&lt;D17,F14*B17,D17*B17))</f>
        <v>3785.72</v>
      </c>
    </row>
    <row r="18" spans="1:6" x14ac:dyDescent="0.25">
      <c r="A18" s="8" t="s">
        <v>317</v>
      </c>
      <c r="B18" s="147">
        <v>1.4500000000000001E-2</v>
      </c>
      <c r="C18" s="4" t="s">
        <v>325</v>
      </c>
      <c r="D18" s="4"/>
      <c r="E18" s="4" t="s">
        <v>327</v>
      </c>
      <c r="F18" s="141">
        <f>IF(D18="",F14*B18,IF(F14&lt;D18,F14*B18,D18*B18))</f>
        <v>885.37</v>
      </c>
    </row>
    <row r="19" spans="1:6" x14ac:dyDescent="0.25">
      <c r="A19" s="8" t="s">
        <v>318</v>
      </c>
      <c r="B19" s="144">
        <v>0.02</v>
      </c>
      <c r="C19" s="4" t="s">
        <v>325</v>
      </c>
      <c r="D19" s="148">
        <v>9000</v>
      </c>
      <c r="E19" s="4" t="s">
        <v>327</v>
      </c>
      <c r="F19" s="141">
        <f>IF(D19="",F16*B19,IF(F16&lt;D19,F16*B19,D19*B19))</f>
        <v>180</v>
      </c>
    </row>
    <row r="20" spans="1:6" x14ac:dyDescent="0.25">
      <c r="A20" s="8" t="s">
        <v>319</v>
      </c>
      <c r="B20" s="146">
        <v>8.0000000000000002E-3</v>
      </c>
      <c r="C20" s="4" t="s">
        <v>325</v>
      </c>
      <c r="D20" s="148">
        <v>7000</v>
      </c>
      <c r="E20" s="4" t="s">
        <v>327</v>
      </c>
      <c r="F20" s="141">
        <f>IF(D20="",F16*B20,IF(F16&lt;D20,F16*B20,D20*B20))</f>
        <v>56</v>
      </c>
    </row>
    <row r="21" spans="1:6" x14ac:dyDescent="0.25">
      <c r="A21" s="8" t="s">
        <v>320</v>
      </c>
      <c r="B21" s="138">
        <v>6.25</v>
      </c>
      <c r="C21" s="119" t="s">
        <v>326</v>
      </c>
      <c r="D21" s="4"/>
      <c r="E21" s="4"/>
      <c r="F21" s="141">
        <f>(B21/100)*F16</f>
        <v>3928.75</v>
      </c>
    </row>
    <row r="22" spans="1:6" x14ac:dyDescent="0.25">
      <c r="A22" s="8" t="s">
        <v>321</v>
      </c>
      <c r="B22" s="147">
        <v>9.7000000000000003E-3</v>
      </c>
      <c r="C22" s="119" t="s">
        <v>327</v>
      </c>
      <c r="D22" s="4"/>
      <c r="E22" s="4"/>
      <c r="F22" s="141">
        <f>B22*F16</f>
        <v>609.74199999999996</v>
      </c>
    </row>
    <row r="23" spans="1:6" x14ac:dyDescent="0.25">
      <c r="A23" s="8" t="s">
        <v>322</v>
      </c>
      <c r="B23" s="138">
        <v>100</v>
      </c>
      <c r="C23" s="119" t="s">
        <v>328</v>
      </c>
      <c r="D23" s="4">
        <v>12</v>
      </c>
      <c r="E23" s="119" t="s">
        <v>330</v>
      </c>
      <c r="F23" s="141">
        <f>B23*D23</f>
        <v>1200</v>
      </c>
    </row>
    <row r="24" spans="1:6" x14ac:dyDescent="0.25">
      <c r="A24" s="8" t="s">
        <v>323</v>
      </c>
      <c r="B24" s="144">
        <v>0.5</v>
      </c>
      <c r="C24" s="119" t="s">
        <v>329</v>
      </c>
      <c r="D24" s="149">
        <v>0.06</v>
      </c>
      <c r="E24" s="119" t="s">
        <v>327</v>
      </c>
      <c r="F24" s="141">
        <f>B24*D24*F16</f>
        <v>1885.8</v>
      </c>
    </row>
    <row r="25" spans="1:6" x14ac:dyDescent="0.25">
      <c r="A25" s="22" t="s">
        <v>324</v>
      </c>
      <c r="B25" s="145">
        <v>0</v>
      </c>
      <c r="C25" s="5" t="s">
        <v>327</v>
      </c>
      <c r="D25" s="5"/>
      <c r="E25" s="5"/>
      <c r="F25" s="150">
        <f>F16*B25</f>
        <v>0</v>
      </c>
    </row>
    <row r="26" spans="1:6" ht="20.25" customHeight="1" x14ac:dyDescent="0.25">
      <c r="A26" s="8"/>
      <c r="B26" s="4"/>
      <c r="C26" s="181" t="s">
        <v>331</v>
      </c>
      <c r="D26" s="181"/>
      <c r="E26" s="181"/>
      <c r="F26" s="151">
        <f>SUM(F16:F25)</f>
        <v>75391.381999999998</v>
      </c>
    </row>
    <row r="27" spans="1:6" ht="23.25" customHeight="1" x14ac:dyDescent="0.25">
      <c r="A27" s="8"/>
      <c r="B27" s="4"/>
      <c r="C27" s="182" t="s">
        <v>332</v>
      </c>
      <c r="D27" s="182"/>
      <c r="E27" s="182"/>
      <c r="F27" s="151">
        <f>F26/F10</f>
        <v>28.996685384615382</v>
      </c>
    </row>
    <row r="28" spans="1:6" ht="22.5" customHeight="1" thickBot="1" x14ac:dyDescent="0.3">
      <c r="A28" s="11"/>
      <c r="B28" s="12"/>
      <c r="C28" s="183" t="s">
        <v>333</v>
      </c>
      <c r="D28" s="183"/>
      <c r="E28" s="183"/>
      <c r="F28" s="152">
        <f>F26/(F16-E8)-1</f>
        <v>0.24449293496203373</v>
      </c>
    </row>
  </sheetData>
  <mergeCells count="4">
    <mergeCell ref="A1:F1"/>
    <mergeCell ref="C26:E26"/>
    <mergeCell ref="C27:E27"/>
    <mergeCell ref="C28:E28"/>
  </mergeCells>
  <pageMargins left="0.7" right="0.7" top="0.75" bottom="0.75" header="0.3" footer="0.3"/>
  <pageSetup orientation="portrait" r:id="rId1"/>
  <ignoredErrors>
    <ignoredError sqref="F19" formula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G28" sqref="G28"/>
    </sheetView>
  </sheetViews>
  <sheetFormatPr defaultRowHeight="15" x14ac:dyDescent="0.25"/>
  <cols>
    <col min="1" max="1" width="39.5703125" customWidth="1"/>
    <col min="2" max="2" width="18.7109375" customWidth="1"/>
    <col min="3" max="3" width="4.42578125" customWidth="1"/>
    <col min="4" max="4" width="33.140625" customWidth="1"/>
    <col min="5" max="5" width="13.85546875" customWidth="1"/>
  </cols>
  <sheetData>
    <row r="1" spans="1:5" ht="25.5" customHeight="1" thickBot="1" x14ac:dyDescent="0.4">
      <c r="A1" s="184" t="s">
        <v>336</v>
      </c>
      <c r="B1" s="185"/>
      <c r="D1" s="184" t="s">
        <v>347</v>
      </c>
      <c r="E1" s="185"/>
    </row>
    <row r="2" spans="1:5" x14ac:dyDescent="0.25">
      <c r="A2" s="6" t="s">
        <v>339</v>
      </c>
      <c r="B2" s="140">
        <v>135000</v>
      </c>
      <c r="D2" s="8" t="s">
        <v>348</v>
      </c>
      <c r="E2" s="141">
        <v>5000</v>
      </c>
    </row>
    <row r="3" spans="1:5" x14ac:dyDescent="0.25">
      <c r="A3" s="8" t="s">
        <v>338</v>
      </c>
      <c r="B3" s="141">
        <v>20000</v>
      </c>
      <c r="D3" s="8" t="s">
        <v>349</v>
      </c>
      <c r="E3" s="190">
        <v>3000</v>
      </c>
    </row>
    <row r="4" spans="1:5" x14ac:dyDescent="0.25">
      <c r="A4" s="8" t="s">
        <v>337</v>
      </c>
      <c r="B4" s="153">
        <v>7</v>
      </c>
      <c r="D4" s="8" t="s">
        <v>350</v>
      </c>
      <c r="E4" s="154">
        <v>0.15</v>
      </c>
    </row>
    <row r="5" spans="1:5" x14ac:dyDescent="0.25">
      <c r="A5" s="8" t="s">
        <v>340</v>
      </c>
      <c r="B5" s="141">
        <v>1200</v>
      </c>
      <c r="D5" s="8" t="s">
        <v>351</v>
      </c>
      <c r="E5" s="133">
        <v>3</v>
      </c>
    </row>
    <row r="6" spans="1:5" x14ac:dyDescent="0.25">
      <c r="A6" s="8" t="s">
        <v>341</v>
      </c>
      <c r="B6" s="154">
        <v>0.09</v>
      </c>
      <c r="D6" s="8" t="s">
        <v>352</v>
      </c>
      <c r="E6" s="141">
        <v>1.95</v>
      </c>
    </row>
    <row r="7" spans="1:5" x14ac:dyDescent="0.25">
      <c r="A7" s="8" t="s">
        <v>342</v>
      </c>
      <c r="B7" s="141">
        <v>2600</v>
      </c>
      <c r="D7" s="8" t="s">
        <v>353</v>
      </c>
      <c r="E7" s="141">
        <v>0.01</v>
      </c>
    </row>
    <row r="8" spans="1:5" x14ac:dyDescent="0.25">
      <c r="A8" s="8" t="s">
        <v>346</v>
      </c>
      <c r="B8" s="141">
        <v>2100</v>
      </c>
      <c r="D8" s="8" t="s">
        <v>354</v>
      </c>
      <c r="E8" s="133">
        <v>6.0000000000000001E-3</v>
      </c>
    </row>
    <row r="9" spans="1:5" x14ac:dyDescent="0.25">
      <c r="A9" s="8" t="s">
        <v>343</v>
      </c>
      <c r="B9" s="141">
        <v>1200</v>
      </c>
      <c r="D9" s="8" t="s">
        <v>355</v>
      </c>
      <c r="E9" s="133">
        <v>6.0000000000000001E-3</v>
      </c>
    </row>
    <row r="10" spans="1:5" ht="21.75" customHeight="1" x14ac:dyDescent="0.3">
      <c r="A10" s="189" t="s">
        <v>344</v>
      </c>
      <c r="B10" s="188">
        <f>(((B2-E2)*(1+B6)^B4-B3)*B6/((1+B6)^B4-1)+B7+B8+B9)/B5</f>
        <v>24.629964043079351</v>
      </c>
      <c r="D10" s="8" t="s">
        <v>356</v>
      </c>
      <c r="E10" s="133">
        <v>7.0000000000000001E-3</v>
      </c>
    </row>
    <row r="11" spans="1:5" x14ac:dyDescent="0.25">
      <c r="A11" s="8"/>
      <c r="B11" s="133"/>
      <c r="C11" s="4"/>
      <c r="D11" s="8" t="s">
        <v>357</v>
      </c>
      <c r="E11" s="191">
        <v>0.125</v>
      </c>
    </row>
    <row r="12" spans="1:5" ht="18.75" x14ac:dyDescent="0.3">
      <c r="A12" s="187" t="s">
        <v>345</v>
      </c>
      <c r="B12" s="155">
        <f>B10+E23</f>
        <v>40.065371051733102</v>
      </c>
      <c r="D12" s="8" t="s">
        <v>358</v>
      </c>
      <c r="E12" s="141">
        <v>0.18</v>
      </c>
    </row>
    <row r="13" spans="1:5" x14ac:dyDescent="0.25">
      <c r="D13" s="8" t="s">
        <v>359</v>
      </c>
      <c r="E13" s="141">
        <v>7.43</v>
      </c>
    </row>
    <row r="14" spans="1:5" x14ac:dyDescent="0.25">
      <c r="D14" s="8" t="s">
        <v>360</v>
      </c>
      <c r="E14" s="141">
        <v>5.83</v>
      </c>
    </row>
    <row r="15" spans="1:5" x14ac:dyDescent="0.25">
      <c r="D15" s="8" t="s">
        <v>361</v>
      </c>
      <c r="E15" s="141">
        <v>9.34</v>
      </c>
    </row>
    <row r="16" spans="1:5" x14ac:dyDescent="0.25">
      <c r="D16" s="8" t="s">
        <v>362</v>
      </c>
      <c r="E16" s="141">
        <v>3.61</v>
      </c>
    </row>
    <row r="17" spans="4:5" x14ac:dyDescent="0.25">
      <c r="D17" s="8" t="s">
        <v>363</v>
      </c>
      <c r="E17" s="141">
        <v>4.24</v>
      </c>
    </row>
    <row r="18" spans="4:5" x14ac:dyDescent="0.25">
      <c r="D18" s="8" t="s">
        <v>364</v>
      </c>
      <c r="E18" s="141">
        <v>6.5</v>
      </c>
    </row>
    <row r="19" spans="4:5" x14ac:dyDescent="0.25">
      <c r="D19" s="22"/>
      <c r="E19" s="186"/>
    </row>
    <row r="20" spans="4:5" x14ac:dyDescent="0.25">
      <c r="D20" s="8" t="s">
        <v>365</v>
      </c>
      <c r="E20" s="141">
        <f>E2*(1+B6)^(E3/B5)*B6/((1+B6)^(E3/B5)*1-1)/B5+E4*E2/E3</f>
        <v>2.1848170086537539</v>
      </c>
    </row>
    <row r="21" spans="4:5" x14ac:dyDescent="0.25">
      <c r="D21" s="8" t="s">
        <v>366</v>
      </c>
      <c r="E21" s="141">
        <f>E5*E6</f>
        <v>5.85</v>
      </c>
    </row>
    <row r="22" spans="4:5" x14ac:dyDescent="0.25">
      <c r="D22" s="8" t="s">
        <v>367</v>
      </c>
      <c r="E22" s="141">
        <f>E7*E13+E8*E14+E9*E15+E10*E16+E11*E17+E12</f>
        <v>0.90059</v>
      </c>
    </row>
    <row r="23" spans="4:5" ht="23.25" customHeight="1" x14ac:dyDescent="0.3">
      <c r="D23" s="189" t="s">
        <v>368</v>
      </c>
      <c r="E23" s="188">
        <f>E18+E20+E21+E22</f>
        <v>15.435407008653753</v>
      </c>
    </row>
  </sheetData>
  <mergeCells count="2">
    <mergeCell ref="A1:B1"/>
    <mergeCell ref="D1:E1"/>
  </mergeCell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K27" sqref="K27"/>
    </sheetView>
  </sheetViews>
  <sheetFormatPr defaultRowHeight="15" x14ac:dyDescent="0.25"/>
  <cols>
    <col min="1" max="1" width="22.140625" customWidth="1"/>
    <col min="2" max="5" width="12.42578125" customWidth="1"/>
    <col min="6" max="6" width="12.85546875" customWidth="1"/>
  </cols>
  <sheetData>
    <row r="1" spans="1:6" ht="30.75" customHeight="1" thickBot="1" x14ac:dyDescent="0.5">
      <c r="A1" s="198" t="s">
        <v>369</v>
      </c>
      <c r="B1" s="199"/>
      <c r="C1" s="199"/>
      <c r="D1" s="199"/>
      <c r="E1" s="200"/>
    </row>
    <row r="2" spans="1:6" x14ac:dyDescent="0.25">
      <c r="A2" s="8" t="s">
        <v>370</v>
      </c>
      <c r="B2" s="4" t="s">
        <v>199</v>
      </c>
      <c r="C2" s="4" t="s">
        <v>303</v>
      </c>
      <c r="D2" s="4" t="s">
        <v>371</v>
      </c>
      <c r="E2" s="133" t="s">
        <v>372</v>
      </c>
    </row>
    <row r="3" spans="1:6" x14ac:dyDescent="0.25">
      <c r="A3" s="8" t="s">
        <v>373</v>
      </c>
      <c r="B3" s="122">
        <v>1</v>
      </c>
      <c r="C3" s="138">
        <v>25</v>
      </c>
      <c r="D3" s="4">
        <v>9</v>
      </c>
      <c r="E3" s="141">
        <f>B3*C3*D3</f>
        <v>225</v>
      </c>
    </row>
    <row r="4" spans="1:6" x14ac:dyDescent="0.25">
      <c r="A4" s="8" t="s">
        <v>374</v>
      </c>
      <c r="B4" s="122">
        <v>1</v>
      </c>
      <c r="C4" s="138">
        <v>16.5</v>
      </c>
      <c r="D4" s="4">
        <v>8</v>
      </c>
      <c r="E4" s="141">
        <f>B4*C4*D4</f>
        <v>132</v>
      </c>
    </row>
    <row r="5" spans="1:6" x14ac:dyDescent="0.25">
      <c r="A5" s="8" t="s">
        <v>375</v>
      </c>
      <c r="B5" s="122">
        <v>2</v>
      </c>
      <c r="C5" s="138">
        <v>18</v>
      </c>
      <c r="D5" s="4">
        <v>8</v>
      </c>
      <c r="E5" s="141">
        <f t="shared" ref="E5:E6" si="0">B5*C5*D5</f>
        <v>288</v>
      </c>
    </row>
    <row r="6" spans="1:6" x14ac:dyDescent="0.25">
      <c r="A6" s="8" t="s">
        <v>369</v>
      </c>
      <c r="B6" s="122">
        <v>1</v>
      </c>
      <c r="C6" s="138">
        <v>12</v>
      </c>
      <c r="D6" s="4">
        <v>8</v>
      </c>
      <c r="E6" s="141">
        <f t="shared" si="0"/>
        <v>96</v>
      </c>
    </row>
    <row r="7" spans="1:6" x14ac:dyDescent="0.25">
      <c r="A7" s="8"/>
      <c r="B7" s="4"/>
      <c r="C7" s="4"/>
      <c r="D7" s="4"/>
      <c r="E7" s="133"/>
    </row>
    <row r="8" spans="1:6" x14ac:dyDescent="0.25">
      <c r="A8" s="22"/>
      <c r="B8" s="5"/>
      <c r="C8" s="5"/>
      <c r="D8" s="4"/>
      <c r="E8" s="186"/>
    </row>
    <row r="9" spans="1:6" x14ac:dyDescent="0.25">
      <c r="A9" s="8"/>
      <c r="B9" s="4"/>
      <c r="C9" s="4"/>
      <c r="D9" s="201">
        <f>D3*B3+D4*B4+D5*B5+D6*B6+D7*B7+D8*B8</f>
        <v>41</v>
      </c>
      <c r="E9" s="141">
        <f>SUM(E3:E8)</f>
        <v>741</v>
      </c>
    </row>
    <row r="10" spans="1:6" x14ac:dyDescent="0.25">
      <c r="A10" s="8"/>
      <c r="B10" s="4"/>
      <c r="C10" s="4"/>
      <c r="D10" s="4"/>
      <c r="E10" s="133"/>
    </row>
    <row r="11" spans="1:6" x14ac:dyDescent="0.25">
      <c r="A11" s="8"/>
      <c r="B11" s="4"/>
      <c r="C11" s="4"/>
      <c r="D11" s="4"/>
      <c r="E11" s="133"/>
    </row>
    <row r="12" spans="1:6" ht="15.75" thickBot="1" x14ac:dyDescent="0.3">
      <c r="A12" s="11"/>
      <c r="B12" s="215" t="s">
        <v>376</v>
      </c>
      <c r="C12" s="215"/>
      <c r="D12" s="215"/>
      <c r="E12" s="216">
        <f>E9/D9</f>
        <v>18.073170731707318</v>
      </c>
    </row>
    <row r="13" spans="1:6" ht="15.75" thickBot="1" x14ac:dyDescent="0.3"/>
    <row r="14" spans="1:6" ht="27.75" customHeight="1" thickBot="1" x14ac:dyDescent="0.45">
      <c r="A14" s="195" t="s">
        <v>377</v>
      </c>
      <c r="B14" s="196"/>
      <c r="C14" s="196"/>
      <c r="D14" s="196"/>
      <c r="E14" s="196"/>
      <c r="F14" s="197"/>
    </row>
    <row r="15" spans="1:6" x14ac:dyDescent="0.25">
      <c r="A15" s="207" t="s">
        <v>370</v>
      </c>
      <c r="B15" s="208" t="s">
        <v>199</v>
      </c>
      <c r="C15" s="208" t="s">
        <v>378</v>
      </c>
      <c r="D15" s="208" t="s">
        <v>379</v>
      </c>
      <c r="E15" s="208" t="s">
        <v>380</v>
      </c>
      <c r="F15" s="209" t="s">
        <v>372</v>
      </c>
    </row>
    <row r="16" spans="1:6" x14ac:dyDescent="0.25">
      <c r="A16" s="210"/>
      <c r="B16" s="211"/>
      <c r="C16" s="211"/>
      <c r="D16" s="211"/>
      <c r="E16" s="211"/>
      <c r="F16" s="212"/>
    </row>
    <row r="17" spans="1:6" x14ac:dyDescent="0.25">
      <c r="A17" s="8" t="s">
        <v>381</v>
      </c>
      <c r="B17" s="122">
        <v>2</v>
      </c>
      <c r="C17" s="138">
        <v>90</v>
      </c>
      <c r="D17" s="100">
        <v>8</v>
      </c>
      <c r="E17" s="138"/>
      <c r="F17" s="141">
        <f>B17*C17*D17+B17*E17</f>
        <v>1440</v>
      </c>
    </row>
    <row r="18" spans="1:6" x14ac:dyDescent="0.25">
      <c r="A18" s="8" t="s">
        <v>382</v>
      </c>
      <c r="B18" s="122">
        <v>1</v>
      </c>
      <c r="C18" s="138">
        <v>75</v>
      </c>
      <c r="D18" s="100">
        <v>8</v>
      </c>
      <c r="E18" s="138"/>
      <c r="F18" s="141">
        <f t="shared" ref="F18:F22" si="1">B18*C18*D18+B18*E18</f>
        <v>600</v>
      </c>
    </row>
    <row r="19" spans="1:6" x14ac:dyDescent="0.25">
      <c r="A19" s="8" t="s">
        <v>383</v>
      </c>
      <c r="B19" s="122">
        <v>1</v>
      </c>
      <c r="C19" s="138"/>
      <c r="D19" s="100"/>
      <c r="E19" s="138">
        <v>25</v>
      </c>
      <c r="F19" s="141">
        <f t="shared" si="1"/>
        <v>25</v>
      </c>
    </row>
    <row r="20" spans="1:6" x14ac:dyDescent="0.25">
      <c r="A20" s="8" t="s">
        <v>384</v>
      </c>
      <c r="B20" s="122">
        <v>1</v>
      </c>
      <c r="C20" s="138"/>
      <c r="D20" s="100"/>
      <c r="E20" s="138">
        <v>18</v>
      </c>
      <c r="F20" s="141">
        <f t="shared" si="1"/>
        <v>18</v>
      </c>
    </row>
    <row r="21" spans="1:6" x14ac:dyDescent="0.25">
      <c r="A21" s="8"/>
      <c r="B21" s="122"/>
      <c r="C21" s="138"/>
      <c r="D21" s="100"/>
      <c r="E21" s="138"/>
      <c r="F21" s="141">
        <f t="shared" si="1"/>
        <v>0</v>
      </c>
    </row>
    <row r="22" spans="1:6" x14ac:dyDescent="0.25">
      <c r="A22" s="22"/>
      <c r="B22" s="130"/>
      <c r="C22" s="213"/>
      <c r="D22" s="214"/>
      <c r="E22" s="213"/>
      <c r="F22" s="150">
        <f t="shared" si="1"/>
        <v>0</v>
      </c>
    </row>
    <row r="23" spans="1:6" x14ac:dyDescent="0.25">
      <c r="A23" s="8"/>
      <c r="B23" s="4"/>
      <c r="C23" s="4"/>
      <c r="D23" s="4"/>
      <c r="E23" s="4"/>
      <c r="F23" s="141">
        <f>SUM(F17:F22)</f>
        <v>2083</v>
      </c>
    </row>
    <row r="24" spans="1:6" x14ac:dyDescent="0.25">
      <c r="A24" s="8"/>
      <c r="B24" s="4"/>
      <c r="C24" s="4"/>
      <c r="D24" s="4"/>
      <c r="E24" s="4"/>
      <c r="F24" s="133"/>
    </row>
    <row r="25" spans="1:6" ht="15.75" thickBot="1" x14ac:dyDescent="0.3">
      <c r="A25" s="11"/>
      <c r="B25" s="12"/>
      <c r="C25" s="215" t="s">
        <v>376</v>
      </c>
      <c r="D25" s="215"/>
      <c r="E25" s="215"/>
      <c r="F25" s="216">
        <f>F23/D9</f>
        <v>50.804878048780488</v>
      </c>
    </row>
  </sheetData>
  <mergeCells count="10">
    <mergeCell ref="C25:E25"/>
    <mergeCell ref="A1:E1"/>
    <mergeCell ref="B12:D12"/>
    <mergeCell ref="A14:F14"/>
    <mergeCell ref="A15:A16"/>
    <mergeCell ref="B15:B16"/>
    <mergeCell ref="C15:C16"/>
    <mergeCell ref="D15:D16"/>
    <mergeCell ref="E15:E16"/>
    <mergeCell ref="F15:F1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H7" sqref="H7"/>
    </sheetView>
  </sheetViews>
  <sheetFormatPr defaultRowHeight="15" x14ac:dyDescent="0.25"/>
  <cols>
    <col min="1" max="1" width="14.5703125" customWidth="1"/>
    <col min="2" max="2" width="13.5703125" customWidth="1"/>
    <col min="3" max="3" width="11.42578125" customWidth="1"/>
    <col min="5" max="5" width="12.7109375" bestFit="1" customWidth="1"/>
    <col min="6" max="6" width="11" customWidth="1"/>
  </cols>
  <sheetData>
    <row r="1" spans="1:6" ht="41.25" customHeight="1" x14ac:dyDescent="0.25">
      <c r="A1" s="203" t="s">
        <v>385</v>
      </c>
      <c r="B1" s="204" t="s">
        <v>386</v>
      </c>
      <c r="C1" s="194" t="s">
        <v>387</v>
      </c>
      <c r="D1" s="194"/>
      <c r="E1" s="194"/>
      <c r="F1" s="217" t="s">
        <v>388</v>
      </c>
    </row>
    <row r="2" spans="1:6" x14ac:dyDescent="0.25">
      <c r="A2" s="218">
        <v>2001</v>
      </c>
      <c r="B2" s="219">
        <f>A3-1</f>
        <v>25000</v>
      </c>
      <c r="C2" s="219">
        <v>69.25</v>
      </c>
      <c r="D2" s="117" t="s">
        <v>389</v>
      </c>
      <c r="E2" s="219">
        <f>A2-1</f>
        <v>2000</v>
      </c>
      <c r="F2" s="225">
        <v>14</v>
      </c>
    </row>
    <row r="3" spans="1:6" x14ac:dyDescent="0.25">
      <c r="A3" s="220">
        <v>25001</v>
      </c>
      <c r="B3" s="138">
        <f t="shared" ref="B3:B6" si="0">A4-1</f>
        <v>50000</v>
      </c>
      <c r="C3" s="138">
        <v>391.25</v>
      </c>
      <c r="D3" s="118" t="s">
        <v>389</v>
      </c>
      <c r="E3" s="138">
        <v>25000</v>
      </c>
      <c r="F3" s="141">
        <v>10.1</v>
      </c>
    </row>
    <row r="4" spans="1:6" x14ac:dyDescent="0.25">
      <c r="A4" s="220">
        <v>50001</v>
      </c>
      <c r="B4" s="138">
        <f t="shared" si="0"/>
        <v>100000</v>
      </c>
      <c r="C4" s="138">
        <v>643.75</v>
      </c>
      <c r="D4" s="118" t="s">
        <v>389</v>
      </c>
      <c r="E4" s="138">
        <v>50000</v>
      </c>
      <c r="F4" s="141">
        <v>7</v>
      </c>
    </row>
    <row r="5" spans="1:6" x14ac:dyDescent="0.25">
      <c r="A5" s="220">
        <v>100001</v>
      </c>
      <c r="B5" s="138">
        <f t="shared" si="0"/>
        <v>500000</v>
      </c>
      <c r="C5" s="224">
        <v>993.75</v>
      </c>
      <c r="D5" s="118" t="s">
        <v>389</v>
      </c>
      <c r="E5" s="138">
        <v>100000</v>
      </c>
      <c r="F5" s="141">
        <v>5.6</v>
      </c>
    </row>
    <row r="6" spans="1:6" x14ac:dyDescent="0.25">
      <c r="A6" s="220">
        <v>500001</v>
      </c>
      <c r="B6" s="138">
        <f t="shared" si="0"/>
        <v>1000000</v>
      </c>
      <c r="C6" s="224">
        <v>3233.75</v>
      </c>
      <c r="D6" s="118" t="s">
        <v>389</v>
      </c>
      <c r="E6" s="224">
        <v>500000</v>
      </c>
      <c r="F6" s="141">
        <v>4.75</v>
      </c>
    </row>
    <row r="7" spans="1:6" ht="15.75" thickBot="1" x14ac:dyDescent="0.3">
      <c r="A7" s="221">
        <v>1000001</v>
      </c>
      <c r="B7" s="222"/>
      <c r="C7" s="222">
        <v>5608.75</v>
      </c>
      <c r="D7" s="223" t="s">
        <v>389</v>
      </c>
      <c r="E7" s="222">
        <v>1000000</v>
      </c>
      <c r="F7" s="202">
        <v>3.15</v>
      </c>
    </row>
    <row r="8" spans="1:6" ht="15.75" thickBot="1" x14ac:dyDescent="0.3"/>
    <row r="9" spans="1:6" x14ac:dyDescent="0.25">
      <c r="B9" s="193" t="s">
        <v>390</v>
      </c>
      <c r="C9" s="194"/>
      <c r="D9" s="194"/>
      <c r="E9" s="140">
        <v>250061</v>
      </c>
    </row>
    <row r="10" spans="1:6" x14ac:dyDescent="0.25">
      <c r="B10" s="205" t="s">
        <v>391</v>
      </c>
      <c r="C10" s="206"/>
      <c r="D10" s="206"/>
      <c r="E10" s="141">
        <f>ROUNDUP(E9,-3)</f>
        <v>251000</v>
      </c>
    </row>
    <row r="11" spans="1:6" ht="16.5" thickBot="1" x14ac:dyDescent="0.3">
      <c r="B11" s="227" t="s">
        <v>392</v>
      </c>
      <c r="C11" s="228"/>
      <c r="D11" s="228"/>
      <c r="E11" s="229">
        <f>IF(E10&lt;A2,C2,IF(E10&lt;A3,C2+(E10-E2)*F2/1000,IF(E10&lt;A4,C3+(E10-E3)*F3/1000,IF(E10&lt;A5,C4+(E10-E4)*F4/1000,IF(E10&lt;A6,C5+(E10-E5)*F5/1000,IF(E10&lt;A7,C6+(E10-E6)*F6/1000,C7+(E10-E7)*F7/1000))))))</f>
        <v>1839.35</v>
      </c>
    </row>
  </sheetData>
  <mergeCells count="4">
    <mergeCell ref="C1:E1"/>
    <mergeCell ref="B9:D9"/>
    <mergeCell ref="B10:D10"/>
    <mergeCell ref="B11:D1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12" sqref="B12"/>
    </sheetView>
  </sheetViews>
  <sheetFormatPr defaultRowHeight="15" x14ac:dyDescent="0.25"/>
  <cols>
    <col min="1" max="1" width="13.7109375" customWidth="1"/>
    <col min="2" max="2" width="17.5703125" customWidth="1"/>
    <col min="3" max="3" width="16.85546875" customWidth="1"/>
  </cols>
  <sheetData>
    <row r="1" spans="1:3" ht="15.75" thickBot="1" x14ac:dyDescent="0.3">
      <c r="A1" s="234" t="s">
        <v>385</v>
      </c>
      <c r="B1" s="235" t="s">
        <v>386</v>
      </c>
      <c r="C1" s="236" t="s">
        <v>393</v>
      </c>
    </row>
    <row r="2" spans="1:3" x14ac:dyDescent="0.25">
      <c r="A2" s="230">
        <v>0</v>
      </c>
      <c r="B2" s="138">
        <f>A3-1</f>
        <v>50000</v>
      </c>
      <c r="C2" s="231">
        <v>1.4999999999999999E-2</v>
      </c>
    </row>
    <row r="3" spans="1:3" x14ac:dyDescent="0.25">
      <c r="A3" s="230">
        <v>50001</v>
      </c>
      <c r="B3" s="138">
        <f t="shared" ref="B3:B6" si="0">A4-1</f>
        <v>100000</v>
      </c>
      <c r="C3" s="231">
        <v>1.2500000000000001E-2</v>
      </c>
    </row>
    <row r="4" spans="1:3" x14ac:dyDescent="0.25">
      <c r="A4" s="230">
        <v>100001</v>
      </c>
      <c r="B4" s="138">
        <f t="shared" si="0"/>
        <v>250000</v>
      </c>
      <c r="C4" s="231">
        <v>0.01</v>
      </c>
    </row>
    <row r="5" spans="1:3" x14ac:dyDescent="0.25">
      <c r="A5" s="230">
        <v>250001</v>
      </c>
      <c r="B5" s="138">
        <f t="shared" si="0"/>
        <v>500000</v>
      </c>
      <c r="C5" s="231">
        <v>8.9999999999999993E-3</v>
      </c>
    </row>
    <row r="6" spans="1:3" x14ac:dyDescent="0.25">
      <c r="A6" s="230">
        <v>500001</v>
      </c>
      <c r="B6" s="138">
        <f t="shared" si="0"/>
        <v>1000000</v>
      </c>
      <c r="C6" s="231">
        <v>8.0000000000000002E-3</v>
      </c>
    </row>
    <row r="7" spans="1:3" ht="15.75" thickBot="1" x14ac:dyDescent="0.3">
      <c r="A7" s="232">
        <v>1000001</v>
      </c>
      <c r="B7" s="222"/>
      <c r="C7" s="233">
        <v>7.4999999999999997E-3</v>
      </c>
    </row>
    <row r="8" spans="1:3" ht="15.75" thickBot="1" x14ac:dyDescent="0.3">
      <c r="A8" s="192"/>
    </row>
    <row r="9" spans="1:3" x14ac:dyDescent="0.25">
      <c r="A9" s="192"/>
      <c r="B9" s="6" t="s">
        <v>395</v>
      </c>
      <c r="C9" s="140">
        <v>458265</v>
      </c>
    </row>
    <row r="10" spans="1:3" ht="20.25" customHeight="1" thickBot="1" x14ac:dyDescent="0.3">
      <c r="A10" s="192"/>
      <c r="B10" s="237" t="s">
        <v>396</v>
      </c>
      <c r="C10" s="226">
        <f>IF(C9&lt;=B2,C9*C2,IF(C9&lt;=B3,(CC9-B2)*C3+B2*C2,IF(C9&lt;=B4,(C9-B3)*C4+(B3-B2)*C3+B2*C2,IF(C9&lt;=B5,(C9-B4)*C5+(B4-B3)*C4+(B3-B2)*C3+B2*C2,IF(C9&lt;=B6,(C9-B5)*C6+(B5-B4)*C5+(B4-B3)*C4+(B3-B2)*C3+B2*C2,(C9-B6)*C7+(B6-B5)*C6+(B5-B6)*C5+(B4-B3)*C4+(B3-B2)*C3+B2*C2)))))</f>
        <v>4749.3850000000002</v>
      </c>
    </row>
    <row r="11" spans="1:3" x14ac:dyDescent="0.25">
      <c r="A11" s="192"/>
    </row>
    <row r="12" spans="1:3" x14ac:dyDescent="0.25">
      <c r="A12" s="192"/>
    </row>
    <row r="13" spans="1:3" x14ac:dyDescent="0.25">
      <c r="A13" s="192"/>
    </row>
    <row r="14" spans="1:3" x14ac:dyDescent="0.25">
      <c r="A14" s="192"/>
    </row>
    <row r="15" spans="1:3" x14ac:dyDescent="0.25">
      <c r="A15" s="192"/>
    </row>
    <row r="16" spans="1:3" x14ac:dyDescent="0.25">
      <c r="A16" s="192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12" sqref="E12"/>
    </sheetView>
  </sheetViews>
  <sheetFormatPr defaultRowHeight="15" x14ac:dyDescent="0.25"/>
  <cols>
    <col min="1" max="1" width="26.5703125" customWidth="1"/>
    <col min="2" max="2" width="12.140625" style="110" customWidth="1"/>
    <col min="3" max="3" width="16.5703125" customWidth="1"/>
    <col min="4" max="4" width="16.42578125" customWidth="1"/>
    <col min="5" max="5" width="12.140625" customWidth="1"/>
  </cols>
  <sheetData>
    <row r="1" spans="1:5" x14ac:dyDescent="0.25">
      <c r="A1" s="238" t="s">
        <v>397</v>
      </c>
    </row>
    <row r="2" spans="1:5" x14ac:dyDescent="0.25">
      <c r="A2" t="s">
        <v>275</v>
      </c>
      <c r="B2" s="110" t="s">
        <v>400</v>
      </c>
      <c r="C2" s="110" t="s">
        <v>394</v>
      </c>
      <c r="D2" s="110" t="s">
        <v>401</v>
      </c>
      <c r="E2" s="110" t="s">
        <v>402</v>
      </c>
    </row>
    <row r="3" spans="1:5" x14ac:dyDescent="0.25">
      <c r="A3" s="3" t="s">
        <v>398</v>
      </c>
      <c r="B3" s="239">
        <v>41814</v>
      </c>
      <c r="C3" s="219">
        <v>875256</v>
      </c>
      <c r="D3" s="219">
        <v>798952</v>
      </c>
      <c r="E3" s="241">
        <f>(C3/D3-1)</f>
        <v>9.5505111696322142E-2</v>
      </c>
    </row>
    <row r="4" spans="1:5" x14ac:dyDescent="0.25">
      <c r="A4" t="s">
        <v>399</v>
      </c>
      <c r="B4" s="240">
        <v>41865</v>
      </c>
      <c r="C4" s="192">
        <v>52326</v>
      </c>
      <c r="D4" s="192">
        <v>42165</v>
      </c>
      <c r="E4" s="147">
        <f t="shared" ref="E4:E7" si="0">(C4/D4-1)</f>
        <v>0.24098185699039498</v>
      </c>
    </row>
    <row r="5" spans="1:5" x14ac:dyDescent="0.25">
      <c r="B5" s="240"/>
      <c r="E5" s="147"/>
    </row>
    <row r="6" spans="1:5" x14ac:dyDescent="0.25">
      <c r="B6" s="240"/>
      <c r="E6" s="147"/>
    </row>
    <row r="7" spans="1:5" x14ac:dyDescent="0.25">
      <c r="A7" s="238" t="s">
        <v>403</v>
      </c>
      <c r="E7" s="147"/>
    </row>
    <row r="8" spans="1:5" x14ac:dyDescent="0.25">
      <c r="A8" t="s">
        <v>275</v>
      </c>
      <c r="B8" s="110" t="s">
        <v>400</v>
      </c>
      <c r="C8" s="110" t="s">
        <v>394</v>
      </c>
      <c r="D8" s="110" t="s">
        <v>401</v>
      </c>
      <c r="E8" s="110" t="s">
        <v>402</v>
      </c>
    </row>
    <row r="9" spans="1:5" x14ac:dyDescent="0.25">
      <c r="A9" s="3" t="s">
        <v>404</v>
      </c>
      <c r="B9" s="239">
        <v>37330</v>
      </c>
      <c r="C9" s="219">
        <v>179249</v>
      </c>
      <c r="D9" s="219">
        <v>157260</v>
      </c>
      <c r="E9" s="241">
        <f>(C9/D9-1)</f>
        <v>0.13982576624697951</v>
      </c>
    </row>
    <row r="10" spans="1:5" x14ac:dyDescent="0.25">
      <c r="A10" t="s">
        <v>405</v>
      </c>
      <c r="B10" s="240">
        <v>37431</v>
      </c>
      <c r="C10" s="192">
        <v>859462</v>
      </c>
      <c r="D10" s="192">
        <v>798952</v>
      </c>
      <c r="E10" s="147">
        <f>(C10/D10-1)</f>
        <v>7.5736715096776708E-2</v>
      </c>
    </row>
    <row r="11" spans="1:5" x14ac:dyDescent="0.25">
      <c r="A11" t="s">
        <v>406</v>
      </c>
      <c r="B11" s="240">
        <v>37459</v>
      </c>
      <c r="C11" s="192">
        <v>1152634</v>
      </c>
      <c r="D11" s="192">
        <v>1092215</v>
      </c>
      <c r="E11" s="147">
        <f t="shared" ref="E10:E11" si="1">(C11/D11-1)</f>
        <v>5.5317863241211684E-2</v>
      </c>
    </row>
    <row r="12" spans="1:5" x14ac:dyDescent="0.25">
      <c r="B12" s="240"/>
    </row>
    <row r="13" spans="1:5" x14ac:dyDescent="0.25">
      <c r="B13" s="2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7-1</vt:lpstr>
      <vt:lpstr>7-2</vt:lpstr>
      <vt:lpstr>6-1</vt:lpstr>
      <vt:lpstr>6-2</vt:lpstr>
      <vt:lpstr>8-1</vt:lpstr>
      <vt:lpstr>8-2</vt:lpstr>
      <vt:lpstr>8-3</vt:lpstr>
      <vt:lpstr>8-4</vt:lpstr>
      <vt:lpstr>8-5</vt:lpstr>
      <vt:lpstr>8-6</vt:lpstr>
      <vt:lpstr>9-1</vt:lpstr>
      <vt:lpstr>9-2</vt:lpstr>
      <vt:lpstr>9-3</vt:lpstr>
      <vt:lpstr>9-4</vt:lpstr>
      <vt:lpstr>9-5</vt:lpstr>
      <vt:lpstr>11-1</vt:lpstr>
      <vt:lpstr>11-2</vt:lpstr>
      <vt:lpstr>17-1</vt:lpstr>
      <vt:lpstr>18-1</vt:lpstr>
      <vt:lpstr>18-2</vt:lpstr>
      <vt:lpstr>18-3</vt:lpstr>
      <vt:lpstr>18-4</vt:lpstr>
      <vt:lpstr>18-5</vt:lpstr>
      <vt:lpstr>19-1</vt:lpstr>
      <vt:lpstr>20-1</vt:lpstr>
      <vt:lpstr>20-2</vt:lpstr>
      <vt:lpstr>21-1</vt:lpstr>
      <vt:lpstr>22-1</vt:lpstr>
      <vt:lpstr>23-1</vt:lpstr>
      <vt:lpstr>25-1</vt:lpstr>
      <vt:lpstr>25-2</vt:lpstr>
      <vt:lpstr>25-3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Easton</dc:creator>
  <cp:lastModifiedBy>Marie Neff</cp:lastModifiedBy>
  <dcterms:created xsi:type="dcterms:W3CDTF">2013-11-08T18:56:02Z</dcterms:created>
  <dcterms:modified xsi:type="dcterms:W3CDTF">2014-09-30T03:59:08Z</dcterms:modified>
</cp:coreProperties>
</file>